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University of Kentucky\Grants\Maple Syrup\KCARD\KCARD Maple Files for Website\"/>
    </mc:Choice>
  </mc:AlternateContent>
  <bookViews>
    <workbookView xWindow="0" yWindow="0" windowWidth="23040" windowHeight="8304"/>
  </bookViews>
  <sheets>
    <sheet name="Maple Start Up Costs" sheetId="9" r:id="rId1"/>
    <sheet name="Assumptions" sheetId="7" r:id="rId2"/>
    <sheet name="Income Statement" sheetId="1" r:id="rId3"/>
    <sheet name="Cash Flow" sheetId="2" r:id="rId4"/>
    <sheet name="Balance Sheet" sheetId="6" state="hidden" r:id="rId5"/>
  </sheets>
  <definedNames>
    <definedName name="_xlnm.Print_Area" localSheetId="1">Assumptions!$A$1:$L$45,Assumptions!$N$47:$P$142</definedName>
    <definedName name="_xlnm.Print_Area" localSheetId="2">'Income Statement'!$A$1:$D$57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7" l="1"/>
  <c r="D91" i="7"/>
  <c r="E91" i="7"/>
  <c r="B91" i="7"/>
  <c r="B46" i="1"/>
  <c r="C12" i="9"/>
  <c r="F12" i="9" s="1"/>
  <c r="B13" i="7" l="1"/>
  <c r="C65" i="7" l="1"/>
  <c r="D65" i="7"/>
  <c r="E65" i="7"/>
  <c r="B65" i="7"/>
  <c r="B21" i="2" l="1"/>
  <c r="D18" i="7"/>
  <c r="D21" i="2" s="1"/>
  <c r="E18" i="7"/>
  <c r="E21" i="2" s="1"/>
  <c r="C18" i="7"/>
  <c r="C21" i="2" s="1"/>
  <c r="B20" i="2"/>
  <c r="C9" i="9"/>
  <c r="F9" i="9" s="1"/>
  <c r="C10" i="9"/>
  <c r="F10" i="9" s="1"/>
  <c r="C13" i="9"/>
  <c r="F13" i="9" s="1"/>
  <c r="C14" i="9"/>
  <c r="F14" i="9" s="1"/>
  <c r="C15" i="9"/>
  <c r="F15" i="9" s="1"/>
  <c r="C16" i="9"/>
  <c r="F16" i="9" s="1"/>
  <c r="C17" i="9"/>
  <c r="F17" i="9" s="1"/>
  <c r="C18" i="9"/>
  <c r="F18" i="9" s="1"/>
  <c r="C8" i="9"/>
  <c r="F8" i="9" s="1"/>
  <c r="B11" i="9"/>
  <c r="C131" i="7"/>
  <c r="D131" i="7"/>
  <c r="E131" i="7"/>
  <c r="F131" i="7"/>
  <c r="G131" i="7"/>
  <c r="H131" i="7"/>
  <c r="I131" i="7"/>
  <c r="C132" i="7"/>
  <c r="D132" i="7"/>
  <c r="E132" i="7"/>
  <c r="F132" i="7"/>
  <c r="G132" i="7"/>
  <c r="H132" i="7"/>
  <c r="I132" i="7"/>
  <c r="B132" i="7"/>
  <c r="B131" i="7"/>
  <c r="C11" i="9" l="1"/>
  <c r="F11" i="9" s="1"/>
  <c r="D46" i="1"/>
  <c r="E46" i="1"/>
  <c r="C46" i="1"/>
  <c r="B37" i="9"/>
  <c r="B22" i="2" s="1"/>
  <c r="B3" i="6"/>
  <c r="B3" i="2"/>
  <c r="B4" i="1"/>
  <c r="B39" i="9" l="1"/>
  <c r="B40" i="9" s="1"/>
  <c r="E44" i="7"/>
  <c r="C44" i="7"/>
  <c r="D44" i="7"/>
  <c r="B44" i="7"/>
  <c r="C53" i="7"/>
  <c r="D53" i="7"/>
  <c r="E53" i="7"/>
  <c r="B53" i="7"/>
  <c r="E34" i="7"/>
  <c r="C34" i="7"/>
  <c r="D34" i="7"/>
  <c r="B34" i="7"/>
  <c r="G125" i="7"/>
  <c r="H125" i="7"/>
  <c r="I125" i="7"/>
  <c r="C125" i="7"/>
  <c r="D125" i="7"/>
  <c r="E125" i="7"/>
  <c r="C68" i="7"/>
  <c r="D68" i="7"/>
  <c r="E68" i="7"/>
  <c r="B68" i="7"/>
  <c r="B60" i="7"/>
  <c r="B20" i="9"/>
  <c r="C19" i="7"/>
  <c r="D19" i="7"/>
  <c r="E19" i="7"/>
  <c r="B19" i="7"/>
  <c r="F125" i="7"/>
  <c r="B125" i="7"/>
  <c r="E45" i="6"/>
  <c r="D45" i="6"/>
  <c r="C45" i="6"/>
  <c r="E34" i="6"/>
  <c r="E42" i="6" s="1"/>
  <c r="E40" i="6"/>
  <c r="D34" i="6"/>
  <c r="D42" i="6" s="1"/>
  <c r="D40" i="6"/>
  <c r="C34" i="6"/>
  <c r="C42" i="6" s="1"/>
  <c r="C40" i="6"/>
  <c r="B34" i="6"/>
  <c r="B42" i="6" s="1"/>
  <c r="B40" i="6"/>
  <c r="E25" i="6"/>
  <c r="D25" i="6"/>
  <c r="B25" i="6"/>
  <c r="E21" i="6"/>
  <c r="D21" i="6"/>
  <c r="C21" i="6"/>
  <c r="B21" i="6"/>
  <c r="E33" i="1"/>
  <c r="D33" i="1"/>
  <c r="B33" i="1"/>
  <c r="C33" i="1"/>
  <c r="C25" i="6"/>
  <c r="D56" i="7" l="1"/>
  <c r="D60" i="7" s="1"/>
  <c r="D61" i="7" s="1"/>
  <c r="C56" i="7"/>
  <c r="C60" i="7" s="1"/>
  <c r="C61" i="7" s="1"/>
  <c r="B92" i="7"/>
  <c r="B78" i="7"/>
  <c r="B84" i="7" s="1"/>
  <c r="E92" i="7"/>
  <c r="E93" i="7" s="1"/>
  <c r="E95" i="7" s="1"/>
  <c r="E78" i="7"/>
  <c r="E84" i="7" s="1"/>
  <c r="D92" i="7"/>
  <c r="D78" i="7"/>
  <c r="C92" i="7"/>
  <c r="C93" i="7" s="1"/>
  <c r="C95" i="7" s="1"/>
  <c r="C78" i="7"/>
  <c r="E56" i="7"/>
  <c r="E60" i="7" s="1"/>
  <c r="E61" i="7" s="1"/>
  <c r="B61" i="7"/>
  <c r="B62" i="7" s="1"/>
  <c r="B14" i="1" s="1"/>
  <c r="B23" i="9"/>
  <c r="B25" i="9" s="1"/>
  <c r="B14" i="2" s="1"/>
  <c r="B144" i="7"/>
  <c r="U45" i="9"/>
  <c r="S45" i="9"/>
  <c r="N44" i="9"/>
  <c r="L45" i="9"/>
  <c r="G44" i="9"/>
  <c r="G45" i="9"/>
  <c r="B44" i="9"/>
  <c r="J44" i="9"/>
  <c r="K44" i="9"/>
  <c r="D45" i="9"/>
  <c r="L44" i="9"/>
  <c r="R45" i="9"/>
  <c r="M44" i="9"/>
  <c r="Q44" i="9"/>
  <c r="I44" i="9"/>
  <c r="O44" i="9"/>
  <c r="M45" i="9"/>
  <c r="H44" i="9"/>
  <c r="H45" i="9"/>
  <c r="R44" i="9"/>
  <c r="P44" i="9"/>
  <c r="N45" i="9"/>
  <c r="C44" i="9"/>
  <c r="C45" i="9"/>
  <c r="T44" i="9"/>
  <c r="S44" i="9"/>
  <c r="S46" i="9" s="1"/>
  <c r="I45" i="9"/>
  <c r="O45" i="9"/>
  <c r="D44" i="9"/>
  <c r="U44" i="9"/>
  <c r="Q45" i="9"/>
  <c r="J45" i="9"/>
  <c r="J46" i="9" s="1"/>
  <c r="P45" i="9"/>
  <c r="E45" i="9"/>
  <c r="T45" i="9"/>
  <c r="K45" i="9"/>
  <c r="F44" i="9"/>
  <c r="B45" i="9"/>
  <c r="E44" i="9"/>
  <c r="F45" i="9"/>
  <c r="E73" i="7"/>
  <c r="E16" i="1" s="1"/>
  <c r="E70" i="7"/>
  <c r="E15" i="1" s="1"/>
  <c r="D73" i="7"/>
  <c r="D16" i="1" s="1"/>
  <c r="D70" i="7"/>
  <c r="D15" i="1" s="1"/>
  <c r="B73" i="7"/>
  <c r="B16" i="1" s="1"/>
  <c r="B70" i="7"/>
  <c r="B15" i="1" s="1"/>
  <c r="C73" i="7"/>
  <c r="C16" i="1" s="1"/>
  <c r="C70" i="7"/>
  <c r="C15" i="1" s="1"/>
  <c r="F20" i="9"/>
  <c r="D27" i="7"/>
  <c r="D109" i="7" s="1"/>
  <c r="B27" i="7"/>
  <c r="B110" i="7" s="1"/>
  <c r="C133" i="7"/>
  <c r="C36" i="1"/>
  <c r="F133" i="7"/>
  <c r="E36" i="1"/>
  <c r="B36" i="1"/>
  <c r="D36" i="1"/>
  <c r="B133" i="7"/>
  <c r="H133" i="7"/>
  <c r="E133" i="7"/>
  <c r="I133" i="7"/>
  <c r="C27" i="7"/>
  <c r="C109" i="7" s="1"/>
  <c r="G133" i="7"/>
  <c r="D133" i="7"/>
  <c r="B36" i="7"/>
  <c r="B37" i="7" s="1"/>
  <c r="B49" i="1" s="1"/>
  <c r="E27" i="7"/>
  <c r="C62" i="7" l="1"/>
  <c r="C38" i="1"/>
  <c r="E38" i="1"/>
  <c r="B38" i="1"/>
  <c r="B50" i="1" s="1"/>
  <c r="D38" i="1"/>
  <c r="E54" i="1"/>
  <c r="B54" i="1"/>
  <c r="C54" i="1"/>
  <c r="D54" i="1"/>
  <c r="P46" i="9"/>
  <c r="K46" i="9"/>
  <c r="D46" i="9"/>
  <c r="L46" i="9"/>
  <c r="R46" i="9"/>
  <c r="T46" i="9"/>
  <c r="U46" i="9"/>
  <c r="H46" i="9"/>
  <c r="E46" i="9"/>
  <c r="I46" i="9"/>
  <c r="N46" i="9"/>
  <c r="C46" i="9"/>
  <c r="G46" i="9"/>
  <c r="O46" i="9"/>
  <c r="B26" i="9"/>
  <c r="C31" i="9" s="1"/>
  <c r="F46" i="9"/>
  <c r="Q46" i="9"/>
  <c r="M46" i="9"/>
  <c r="B46" i="9"/>
  <c r="B109" i="7"/>
  <c r="B10" i="1" s="1"/>
  <c r="C19" i="1"/>
  <c r="C96" i="7"/>
  <c r="C20" i="1" s="1"/>
  <c r="C83" i="7"/>
  <c r="C18" i="1" s="1"/>
  <c r="C84" i="7"/>
  <c r="C17" i="1" s="1"/>
  <c r="D62" i="7"/>
  <c r="E62" i="7" s="1"/>
  <c r="D84" i="7"/>
  <c r="D17" i="1" s="1"/>
  <c r="E19" i="1"/>
  <c r="E96" i="7"/>
  <c r="E20" i="1" s="1"/>
  <c r="B93" i="7"/>
  <c r="B95" i="7" s="1"/>
  <c r="D93" i="7"/>
  <c r="D95" i="7" s="1"/>
  <c r="D110" i="7"/>
  <c r="D22" i="1" s="1"/>
  <c r="D83" i="7"/>
  <c r="D18" i="1" s="1"/>
  <c r="C49" i="1"/>
  <c r="D49" i="1"/>
  <c r="B17" i="1"/>
  <c r="B83" i="7"/>
  <c r="B18" i="1" s="1"/>
  <c r="E49" i="1"/>
  <c r="C110" i="7"/>
  <c r="C10" i="1" s="1"/>
  <c r="E83" i="7"/>
  <c r="E18" i="1" s="1"/>
  <c r="E17" i="1"/>
  <c r="E110" i="7"/>
  <c r="E109" i="7"/>
  <c r="C14" i="1"/>
  <c r="E50" i="1" l="1"/>
  <c r="C50" i="1"/>
  <c r="D50" i="1"/>
  <c r="B45" i="7"/>
  <c r="F136" i="7" s="1"/>
  <c r="B21" i="1"/>
  <c r="D21" i="1"/>
  <c r="C30" i="9"/>
  <c r="C53" i="1" s="1"/>
  <c r="H31" i="9"/>
  <c r="B30" i="9"/>
  <c r="B53" i="1" s="1"/>
  <c r="G31" i="9"/>
  <c r="E31" i="9"/>
  <c r="E30" i="9"/>
  <c r="E53" i="1" s="1"/>
  <c r="G30" i="9"/>
  <c r="D31" i="9"/>
  <c r="H30" i="9"/>
  <c r="B31" i="9"/>
  <c r="D30" i="9"/>
  <c r="D53" i="1" s="1"/>
  <c r="F31" i="9"/>
  <c r="B11" i="2"/>
  <c r="F30" i="9"/>
  <c r="B22" i="1"/>
  <c r="B19" i="1"/>
  <c r="B96" i="7"/>
  <c r="B20" i="1" s="1"/>
  <c r="D19" i="1"/>
  <c r="D96" i="7"/>
  <c r="D20" i="1" s="1"/>
  <c r="D10" i="1"/>
  <c r="D11" i="1" s="1"/>
  <c r="D45" i="7"/>
  <c r="C99" i="7"/>
  <c r="E45" i="7"/>
  <c r="E22" i="1"/>
  <c r="C22" i="1"/>
  <c r="C23" i="1" s="1"/>
  <c r="D14" i="1"/>
  <c r="C45" i="7"/>
  <c r="C21" i="1"/>
  <c r="B11" i="1"/>
  <c r="C11" i="1"/>
  <c r="E10" i="1"/>
  <c r="E21" i="1"/>
  <c r="E99" i="7"/>
  <c r="E100" i="7" s="1"/>
  <c r="E14" i="1"/>
  <c r="B136" i="7" l="1"/>
  <c r="E23" i="1"/>
  <c r="B23" i="1"/>
  <c r="B27" i="1" s="1"/>
  <c r="B62" i="1" s="1"/>
  <c r="D23" i="1"/>
  <c r="D27" i="1" s="1"/>
  <c r="D62" i="1" s="1"/>
  <c r="H32" i="9"/>
  <c r="F32" i="9"/>
  <c r="G32" i="9"/>
  <c r="C32" i="9"/>
  <c r="C24" i="2" s="1"/>
  <c r="C27" i="2" s="1"/>
  <c r="E32" i="9"/>
  <c r="E24" i="2" s="1"/>
  <c r="E27" i="2" s="1"/>
  <c r="B32" i="9"/>
  <c r="B24" i="2" s="1"/>
  <c r="B27" i="2" s="1"/>
  <c r="D32" i="9"/>
  <c r="D24" i="2" s="1"/>
  <c r="D27" i="2" s="1"/>
  <c r="D99" i="7"/>
  <c r="D100" i="7" s="1"/>
  <c r="D101" i="7" s="1"/>
  <c r="B99" i="7"/>
  <c r="B100" i="7" s="1"/>
  <c r="B101" i="7" s="1"/>
  <c r="C100" i="7"/>
  <c r="C101" i="7" s="1"/>
  <c r="E55" i="1"/>
  <c r="E63" i="1" s="1"/>
  <c r="B55" i="1"/>
  <c r="B63" i="1" s="1"/>
  <c r="C55" i="1"/>
  <c r="C63" i="1" s="1"/>
  <c r="D55" i="1"/>
  <c r="D63" i="1" s="1"/>
  <c r="E101" i="7"/>
  <c r="D136" i="7"/>
  <c r="H136" i="7"/>
  <c r="G136" i="7"/>
  <c r="C136" i="7"/>
  <c r="D61" i="1"/>
  <c r="C27" i="1"/>
  <c r="C62" i="1" s="1"/>
  <c r="E11" i="1"/>
  <c r="C61" i="1"/>
  <c r="E136" i="7"/>
  <c r="I136" i="7"/>
  <c r="B61" i="1"/>
  <c r="C103" i="7" l="1"/>
  <c r="G118" i="7" s="1"/>
  <c r="G119" i="7" s="1"/>
  <c r="G139" i="7" s="1"/>
  <c r="G141" i="7" s="1"/>
  <c r="C102" i="7"/>
  <c r="C118" i="7" s="1"/>
  <c r="C119" i="7" s="1"/>
  <c r="C139" i="7" s="1"/>
  <c r="C141" i="7" s="1"/>
  <c r="D103" i="7"/>
  <c r="H118" i="7" s="1"/>
  <c r="H119" i="7" s="1"/>
  <c r="H139" i="7" s="1"/>
  <c r="H141" i="7" s="1"/>
  <c r="D102" i="7"/>
  <c r="D118" i="7" s="1"/>
  <c r="D119" i="7" s="1"/>
  <c r="D139" i="7" s="1"/>
  <c r="D141" i="7" s="1"/>
  <c r="B102" i="7"/>
  <c r="B118" i="7" s="1"/>
  <c r="B119" i="7" s="1"/>
  <c r="B139" i="7" s="1"/>
  <c r="B141" i="7" s="1"/>
  <c r="B103" i="7"/>
  <c r="F118" i="7" s="1"/>
  <c r="F119" i="7" s="1"/>
  <c r="F139" i="7" s="1"/>
  <c r="F141" i="7" s="1"/>
  <c r="C65" i="1"/>
  <c r="B65" i="1"/>
  <c r="E102" i="7"/>
  <c r="E118" i="7" s="1"/>
  <c r="E119" i="7" s="1"/>
  <c r="E139" i="7" s="1"/>
  <c r="E141" i="7" s="1"/>
  <c r="E103" i="7"/>
  <c r="I118" i="7" s="1"/>
  <c r="I119" i="7" s="1"/>
  <c r="I139" i="7" s="1"/>
  <c r="I141" i="7" s="1"/>
  <c r="E61" i="1"/>
  <c r="D29" i="1"/>
  <c r="D57" i="1" s="1"/>
  <c r="B29" i="1"/>
  <c r="B57" i="1" s="1"/>
  <c r="C29" i="1"/>
  <c r="C57" i="1" s="1"/>
  <c r="D65" i="1"/>
  <c r="E27" i="1"/>
  <c r="E62" i="1" s="1"/>
  <c r="C47" i="6" l="1"/>
  <c r="C13" i="2"/>
  <c r="C16" i="2" s="1"/>
  <c r="C29" i="2" s="1"/>
  <c r="D47" i="6"/>
  <c r="D13" i="2"/>
  <c r="D16" i="2" s="1"/>
  <c r="D29" i="2" s="1"/>
  <c r="B47" i="6"/>
  <c r="B49" i="6" s="1"/>
  <c r="B51" i="6" s="1"/>
  <c r="B53" i="6" s="1"/>
  <c r="B13" i="2"/>
  <c r="B16" i="2" s="1"/>
  <c r="B29" i="2" s="1"/>
  <c r="B30" i="2" s="1"/>
  <c r="E29" i="1"/>
  <c r="E57" i="1" s="1"/>
  <c r="E65" i="1"/>
  <c r="C46" i="6" l="1"/>
  <c r="D46" i="6" s="1"/>
  <c r="E47" i="6"/>
  <c r="E13" i="2"/>
  <c r="E16" i="2" s="1"/>
  <c r="E29" i="2" s="1"/>
  <c r="C8" i="2"/>
  <c r="C30" i="2" s="1"/>
  <c r="B9" i="6"/>
  <c r="B13" i="6" s="1"/>
  <c r="B28" i="6" s="1"/>
  <c r="C49" i="6" l="1"/>
  <c r="C51" i="6" s="1"/>
  <c r="C53" i="6" s="1"/>
  <c r="C9" i="6"/>
  <c r="C13" i="6" s="1"/>
  <c r="C28" i="6" s="1"/>
  <c r="D8" i="2"/>
  <c r="D30" i="2" s="1"/>
  <c r="D49" i="6"/>
  <c r="D51" i="6" s="1"/>
  <c r="D53" i="6" s="1"/>
  <c r="E46" i="6"/>
  <c r="E49" i="6" s="1"/>
  <c r="E51" i="6" s="1"/>
  <c r="E53" i="6" s="1"/>
  <c r="E8" i="2" l="1"/>
  <c r="E30" i="2" s="1"/>
  <c r="E9" i="6" s="1"/>
  <c r="E13" i="6" s="1"/>
  <c r="E28" i="6" s="1"/>
  <c r="D9" i="6"/>
  <c r="D13" i="6" s="1"/>
  <c r="D28" i="6" s="1"/>
</calcChain>
</file>

<file path=xl/comments1.xml><?xml version="1.0" encoding="utf-8"?>
<comments xmlns="http://schemas.openxmlformats.org/spreadsheetml/2006/main">
  <authors>
    <author>tc={9C0A2DEB-0BCD-4B8E-BAB0-1A5DCB37790F}</author>
    <author>tc={E20A9C63-1D2F-4666-9A61-24B7F5B00161}</author>
  </authors>
  <commentList>
    <comment ref="A9" authorId="0" shapeId="0">
      <text>
        <r>
          <rPr>
            <sz val="1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what equipment do you see your clients have for only maple production?</t>
        </r>
      </text>
    </comment>
    <comment ref="A10" authorId="1" shapeId="0">
      <text>
        <r>
          <rPr>
            <sz val="10"/>
            <rFont val="Arial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would be the physical structure</t>
        </r>
      </text>
    </comment>
  </commentList>
</comments>
</file>

<file path=xl/sharedStrings.xml><?xml version="1.0" encoding="utf-8"?>
<sst xmlns="http://schemas.openxmlformats.org/spreadsheetml/2006/main" count="337" uniqueCount="271">
  <si>
    <t>Income</t>
  </si>
  <si>
    <t>Total Sales Income</t>
  </si>
  <si>
    <t>Cost of Goods Sold</t>
  </si>
  <si>
    <t>Repair &amp; Maintenance</t>
  </si>
  <si>
    <t>Gross Margin</t>
  </si>
  <si>
    <t>Other Operating Income</t>
  </si>
  <si>
    <t>Miscellaneous Income</t>
  </si>
  <si>
    <t>Total Other Income</t>
  </si>
  <si>
    <t>Operating Expenses</t>
  </si>
  <si>
    <t>Salary &amp; Wages</t>
  </si>
  <si>
    <t>Payroll Expenses</t>
  </si>
  <si>
    <t>Professional Fees</t>
  </si>
  <si>
    <t>Insurance</t>
  </si>
  <si>
    <t>Subscriptions and Dues</t>
  </si>
  <si>
    <t>Travel Expenses</t>
  </si>
  <si>
    <t>Postage</t>
  </si>
  <si>
    <t>Advertising</t>
  </si>
  <si>
    <t>Office Expenses</t>
  </si>
  <si>
    <t>Office Utilities</t>
  </si>
  <si>
    <t>Total Operating Expenses</t>
  </si>
  <si>
    <t>Net Income</t>
  </si>
  <si>
    <t>Interest Expense</t>
  </si>
  <si>
    <t xml:space="preserve">Miscellaneous </t>
  </si>
  <si>
    <t>Note: Highlighted cells contain formulas.  Do not input data into these cells.</t>
  </si>
  <si>
    <t>Note: Highlighted Cells are formulas.  DO NOT Input data into cells.</t>
  </si>
  <si>
    <t>Beginning Cash Balance</t>
  </si>
  <si>
    <t>Source of Funds</t>
  </si>
  <si>
    <t>Total Source of Funds</t>
  </si>
  <si>
    <t>Use of Funds</t>
  </si>
  <si>
    <t>Building</t>
  </si>
  <si>
    <t>Equipment</t>
  </si>
  <si>
    <t>Pre-Development</t>
  </si>
  <si>
    <t>Loan Payments</t>
  </si>
  <si>
    <t>Line of Credit payments</t>
  </si>
  <si>
    <t>Owner's Draw</t>
  </si>
  <si>
    <t>Total Use of Funds</t>
  </si>
  <si>
    <t>Funds Generated</t>
  </si>
  <si>
    <t>Ending Cash Balance</t>
  </si>
  <si>
    <t>ASSETS</t>
  </si>
  <si>
    <t>LIABILITIES &amp; OWNER'S EQUITY</t>
  </si>
  <si>
    <t>Current Assets</t>
  </si>
  <si>
    <t>Current Liabilities</t>
  </si>
  <si>
    <t>Accounts &amp; Notes Payable</t>
  </si>
  <si>
    <t>Accrued Expenses</t>
  </si>
  <si>
    <t>Accounts Receivable</t>
  </si>
  <si>
    <t>Total Current Liabilities</t>
  </si>
  <si>
    <t>Inventory</t>
  </si>
  <si>
    <t>Notes Receivable</t>
  </si>
  <si>
    <t>Total Current Assets</t>
  </si>
  <si>
    <t>Long-Term Liabilities</t>
  </si>
  <si>
    <t>Fixed Assets</t>
  </si>
  <si>
    <t>Land</t>
  </si>
  <si>
    <t>Total Long-Term Liabilities</t>
  </si>
  <si>
    <t>TOTAL LIABILITIES</t>
  </si>
  <si>
    <t>Total Fixed Assets</t>
  </si>
  <si>
    <t>Equity</t>
  </si>
  <si>
    <t>Other Assets</t>
  </si>
  <si>
    <t>Retained Earnings</t>
  </si>
  <si>
    <t>Miscellaneous</t>
  </si>
  <si>
    <t>TOTAL MEMBER EQUITY</t>
  </si>
  <si>
    <t>Total Other Assets</t>
  </si>
  <si>
    <t>TOTAL ASSETS</t>
  </si>
  <si>
    <t>TOTAL LIABILITIES &amp; MEMBER EQUITY</t>
  </si>
  <si>
    <t>Fuel/Oil</t>
  </si>
  <si>
    <t>Licenses and Permits</t>
  </si>
  <si>
    <t>YEAR 1</t>
  </si>
  <si>
    <t>YEAR 2</t>
  </si>
  <si>
    <t>YEAR 3</t>
  </si>
  <si>
    <t>Cash</t>
  </si>
  <si>
    <t>Loans and Lines of Credit</t>
  </si>
  <si>
    <t>Vehicle Loan</t>
  </si>
  <si>
    <t>Mortgage</t>
  </si>
  <si>
    <t>Paid-In-Capital</t>
  </si>
  <si>
    <t>Less: Owner's Draw</t>
  </si>
  <si>
    <t>Total Member Equity</t>
  </si>
  <si>
    <t>Net Income Before Taxes</t>
  </si>
  <si>
    <t>Depreciation Expense</t>
  </si>
  <si>
    <t>Auto Payments</t>
  </si>
  <si>
    <t>Less: Accumulated Depreciation</t>
  </si>
  <si>
    <t>Total Other Expenses</t>
  </si>
  <si>
    <t>Year 1</t>
  </si>
  <si>
    <t>Year 2</t>
  </si>
  <si>
    <t>Year 3</t>
  </si>
  <si>
    <t>Plant Labor</t>
  </si>
  <si>
    <t>Workers Comp Insurance</t>
  </si>
  <si>
    <t>Supplies</t>
  </si>
  <si>
    <t>Summary</t>
  </si>
  <si>
    <t>COGS &amp; Op Expenses</t>
  </si>
  <si>
    <t>Other Expenses</t>
  </si>
  <si>
    <t>Automobile(s)</t>
  </si>
  <si>
    <t>Grants</t>
  </si>
  <si>
    <t>Loans</t>
  </si>
  <si>
    <t>Lines of Credit</t>
  </si>
  <si>
    <t>YEAR 0</t>
  </si>
  <si>
    <t>Taxes</t>
  </si>
  <si>
    <t>Owner Investment</t>
  </si>
  <si>
    <t>Balance Sheet TEMPLATE</t>
  </si>
  <si>
    <t>Income Statement TEMPLATE</t>
  </si>
  <si>
    <t>Other Sources</t>
  </si>
  <si>
    <t>Assets</t>
  </si>
  <si>
    <t>Life span</t>
  </si>
  <si>
    <t>Tubing and fittings</t>
  </si>
  <si>
    <t>Total</t>
  </si>
  <si>
    <t>Salvage Value</t>
  </si>
  <si>
    <t>assume no salvage value after life span</t>
  </si>
  <si>
    <t>Depreciation, yr</t>
  </si>
  <si>
    <t>Production</t>
  </si>
  <si>
    <t>Bottling</t>
  </si>
  <si>
    <t>Returns</t>
  </si>
  <si>
    <t>Maple Syrup Sales</t>
  </si>
  <si>
    <t>Packaging, Maple Syrup</t>
  </si>
  <si>
    <t>Maple Syrup</t>
  </si>
  <si>
    <t>Trees Tapped</t>
  </si>
  <si>
    <t>gallons</t>
  </si>
  <si>
    <t>Sap to syrup ratio</t>
  </si>
  <si>
    <t>:1</t>
  </si>
  <si>
    <t>Gallons Produced</t>
  </si>
  <si>
    <t>Year</t>
  </si>
  <si>
    <t>% SAP Harvested to each Enterprise</t>
  </si>
  <si>
    <t>% Maple</t>
  </si>
  <si>
    <t>Currently Owned Assets</t>
  </si>
  <si>
    <t>SAP Production</t>
  </si>
  <si>
    <t>Vacuum System</t>
  </si>
  <si>
    <t>hr/tap</t>
  </si>
  <si>
    <t>kW-hr</t>
  </si>
  <si>
    <t>energy cost for vacuum</t>
  </si>
  <si>
    <t>Processing SAP</t>
  </si>
  <si>
    <t>energy cost for RO</t>
  </si>
  <si>
    <t>Reverse Osmosis (RO) System</t>
  </si>
  <si>
    <t>8 oz Maple Syrup Bottle</t>
  </si>
  <si>
    <t>12 oz Maple Syrup Bottle</t>
  </si>
  <si>
    <t>Syrup, $/bottle</t>
  </si>
  <si>
    <t># label per bottle</t>
  </si>
  <si>
    <t>Bottle, $ each</t>
  </si>
  <si>
    <t>Label, $ each</t>
  </si>
  <si>
    <t>Total, $/bottle</t>
  </si>
  <si>
    <t>Marketing</t>
  </si>
  <si>
    <t>trips per week</t>
  </si>
  <si>
    <t>weeks per season</t>
  </si>
  <si>
    <t>mileage reimbursement</t>
  </si>
  <si>
    <t>miles traveled per season</t>
  </si>
  <si>
    <t>$/season</t>
  </si>
  <si>
    <t>paid advertisements, $/yr</t>
  </si>
  <si>
    <t>labor to develop ads, $/yr</t>
  </si>
  <si>
    <t>Total Marketing, $/yr</t>
  </si>
  <si>
    <t>Total Marketing, $/bottle</t>
  </si>
  <si>
    <t>Electricity Cost</t>
  </si>
  <si>
    <t>Labor cost for putting tap in tree</t>
  </si>
  <si>
    <t>Labor &amp; energy cost for harvesting SAP</t>
  </si>
  <si>
    <t>total cost to produce syrup</t>
  </si>
  <si>
    <t>Gallon SAP/Tree</t>
  </si>
  <si>
    <t>Delivery</t>
  </si>
  <si>
    <t>total miles per season</t>
  </si>
  <si>
    <t>vacuum motor HP</t>
  </si>
  <si>
    <t># vacuums used</t>
  </si>
  <si>
    <t>vacuum run time, hour/day</t>
  </si>
  <si>
    <t>vacuum run time, days/wk</t>
  </si>
  <si>
    <t>vacuum run time, weeks</t>
  </si>
  <si>
    <t>total vacuum run time, hours</t>
  </si>
  <si>
    <t>labor to support vacuum, % run time</t>
  </si>
  <si>
    <t>vacuum support labor cost, $</t>
  </si>
  <si>
    <t># trees tapped</t>
  </si>
  <si>
    <t>years taps installed are in service</t>
  </si>
  <si>
    <t>labor to install taps, hour/day</t>
  </si>
  <si>
    <t>labor to install taps, days/wk</t>
  </si>
  <si>
    <t>labor to install taps, wk/month</t>
  </si>
  <si>
    <t>labor to install taps,months</t>
  </si>
  <si>
    <t>total hours to install taps</t>
  </si>
  <si>
    <t>labor $/tap, over tap service life</t>
  </si>
  <si>
    <t>gal SAP ran thru RO per hour</t>
  </si>
  <si>
    <t>hours RO is ran</t>
  </si>
  <si>
    <t>labor to support RO, % run time</t>
  </si>
  <si>
    <t># RO machines used</t>
  </si>
  <si>
    <t>RO motor HP</t>
  </si>
  <si>
    <t>RO support labor cost, $</t>
  </si>
  <si>
    <t>hours needed to cook each batch</t>
  </si>
  <si>
    <t>gal SAP to be cooked</t>
  </si>
  <si>
    <t># batches to cook</t>
  </si>
  <si>
    <t>labor cost to cook SAP, $</t>
  </si>
  <si>
    <t>total cost to produce gal syrup, $/gal</t>
  </si>
  <si>
    <t>total cost to produce oz syrup, $/oz</t>
  </si>
  <si>
    <t>total cost to produce 12 oz syrup, $/12 oz</t>
  </si>
  <si>
    <t>total cost to produce 8 oz syrup, $/8 oz</t>
  </si>
  <si>
    <t>Maple Syrup Production Costs per unit</t>
  </si>
  <si>
    <t>% maple syrup bottled in 8 oz bottles</t>
  </si>
  <si>
    <t>% maple syrup bottle in 12 oz bottles</t>
  </si>
  <si>
    <t># 8 oz maple syrup bottles produced</t>
  </si>
  <si>
    <t># 12 oz maple syrup bottles produced</t>
  </si>
  <si>
    <t>Retail sales price, $/bottle</t>
  </si>
  <si>
    <t>Bottling Labor</t>
  </si>
  <si>
    <t>time to fill bottle, bottles/min</t>
  </si>
  <si>
    <t>time to attach label to bottle, bottles/min</t>
  </si>
  <si>
    <t>labor cost to fill bottle, $/bottle</t>
  </si>
  <si>
    <t>labor cost to attach bottle label, $/bottle</t>
  </si>
  <si>
    <t>total labor cost for bottling, $/bottle</t>
  </si>
  <si>
    <t>Total cost to produce bottle of syrup, $/bottle</t>
  </si>
  <si>
    <t>Return Above all production costs</t>
  </si>
  <si>
    <t>Summary - 8 oz Maple Syrup bottle</t>
  </si>
  <si>
    <t>Summary - 12 oz Maple Syrup bottle</t>
  </si>
  <si>
    <t>Labor to tap trees</t>
  </si>
  <si>
    <t xml:space="preserve">Labor to support vaccum for SAP </t>
  </si>
  <si>
    <t>Energy to run vaccum for SAP harvest</t>
  </si>
  <si>
    <t>Labor to support reverse osmosis</t>
  </si>
  <si>
    <t>Labor to cook concentrated SAP</t>
  </si>
  <si>
    <t xml:space="preserve">Personnel Expenses </t>
  </si>
  <si>
    <t>Year 4</t>
  </si>
  <si>
    <t>Market # 1</t>
  </si>
  <si>
    <t>Market # 2</t>
  </si>
  <si>
    <t>Market # 3</t>
  </si>
  <si>
    <t>Market # 4</t>
  </si>
  <si>
    <t xml:space="preserve">as of </t>
  </si>
  <si>
    <t xml:space="preserve">Cash Flow Statement </t>
  </si>
  <si>
    <t>Start Up capitalization</t>
  </si>
  <si>
    <t>Equipment Purchase</t>
  </si>
  <si>
    <t>Down Payment, %</t>
  </si>
  <si>
    <t>Down Payment, $</t>
  </si>
  <si>
    <t>Loan Principle</t>
  </si>
  <si>
    <t>Loan Interest</t>
  </si>
  <si>
    <t>Loan Term, years</t>
  </si>
  <si>
    <t xml:space="preserve">Year </t>
  </si>
  <si>
    <t>Interest Payment</t>
  </si>
  <si>
    <t>Principle Payment</t>
  </si>
  <si>
    <t>Total Payment</t>
  </si>
  <si>
    <t>Land Payment</t>
  </si>
  <si>
    <t>Acres</t>
  </si>
  <si>
    <t>Price/Acre</t>
  </si>
  <si>
    <t>Total Purchase</t>
  </si>
  <si>
    <t>Land Loan Principle</t>
  </si>
  <si>
    <t>Net Income Before Taxes (Less Depreciation &amp; Interest Expense)</t>
  </si>
  <si>
    <t>Travel from farm to, mi</t>
  </si>
  <si>
    <t>Fuel oil use per hour</t>
  </si>
  <si>
    <t>Heating oil, $/gal</t>
  </si>
  <si>
    <t># hours cooking</t>
  </si>
  <si>
    <t>Heating oil cost, $</t>
  </si>
  <si>
    <t>Non owner help needed, % of hours cooking</t>
  </si>
  <si>
    <t>Wage/hour</t>
  </si>
  <si>
    <t>Purchase Price</t>
  </si>
  <si>
    <t>Salvage Price</t>
  </si>
  <si>
    <t xml:space="preserve">Energy to run reverse osmosis </t>
  </si>
  <si>
    <t>Fuel Oil to cook concentrated SAP</t>
  </si>
  <si>
    <t>Payroll Expenses, % of wages</t>
  </si>
  <si>
    <t>Additional Taps</t>
  </si>
  <si>
    <t>Taps Added</t>
  </si>
  <si>
    <t>Annual Property Insurance Premium</t>
  </si>
  <si>
    <t>Product Liability Insurance*</t>
  </si>
  <si>
    <t>*1 million policy</t>
  </si>
  <si>
    <t>SAP harvested, gal</t>
  </si>
  <si>
    <t>Yes</t>
  </si>
  <si>
    <t>No</t>
  </si>
  <si>
    <t>Reverse Osmosis System</t>
  </si>
  <si>
    <t xml:space="preserve">Cooking SAP </t>
  </si>
  <si>
    <t>Sap Sugar Content</t>
  </si>
  <si>
    <t>Assume maintenance is % of startup annually</t>
  </si>
  <si>
    <t>Property Insurance, $/$1,000 insured</t>
  </si>
  <si>
    <t>*</t>
  </si>
  <si>
    <t>Hired Labor*</t>
  </si>
  <si>
    <t>SAP/Tree</t>
  </si>
  <si>
    <t>w/ vacuum</t>
  </si>
  <si>
    <t>w/o vacuum</t>
  </si>
  <si>
    <t>Pipeline and tubing, $/tap</t>
  </si>
  <si>
    <t>Side by side</t>
  </si>
  <si>
    <t>Commercial kitchen</t>
  </si>
  <si>
    <t>Sugar shack</t>
  </si>
  <si>
    <t>Vacuum system</t>
  </si>
  <si>
    <t>1200 SAP storage tank</t>
  </si>
  <si>
    <t>MVP ECO R/O</t>
  </si>
  <si>
    <t>3x8 Revolution Evaporator</t>
  </si>
  <si>
    <t>Filter Press w/ air diaphragm pump</t>
  </si>
  <si>
    <t>16x24 Canning and filtering unit</t>
  </si>
  <si>
    <t>RO concentrates SAP to, %</t>
  </si>
  <si>
    <t>gal SAP cooked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</si>
</sst>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0"/>
      <color rgb="FF006100"/>
      <name val="Calibri"/>
      <family val="2"/>
      <scheme val="minor"/>
    </font>
    <font>
      <b/>
      <u/>
      <sz val="11"/>
      <color rgb="FF0061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9" fillId="2" borderId="0" applyNumberFormat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44" fontId="0" fillId="0" borderId="0" xfId="1" applyFont="1"/>
    <xf numFmtId="44" fontId="9" fillId="2" borderId="0" xfId="2" applyNumberFormat="1"/>
    <xf numFmtId="0" fontId="9" fillId="2" borderId="0" xfId="2"/>
    <xf numFmtId="0" fontId="10" fillId="0" borderId="0" xfId="0" applyFont="1"/>
    <xf numFmtId="0" fontId="10" fillId="0" borderId="1" xfId="0" applyFont="1" applyBorder="1"/>
    <xf numFmtId="44" fontId="0" fillId="0" borderId="1" xfId="1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44" fontId="9" fillId="2" borderId="1" xfId="2" applyNumberFormat="1" applyBorder="1"/>
    <xf numFmtId="0" fontId="8" fillId="0" borderId="0" xfId="0" applyFont="1"/>
    <xf numFmtId="0" fontId="9" fillId="0" borderId="0" xfId="2" applyFill="1"/>
    <xf numFmtId="44" fontId="0" fillId="0" borderId="0" xfId="0" applyNumberFormat="1"/>
    <xf numFmtId="0" fontId="5" fillId="0" borderId="0" xfId="0" applyFont="1" applyAlignment="1">
      <alignment horizontal="center"/>
    </xf>
    <xf numFmtId="0" fontId="11" fillId="0" borderId="0" xfId="0" applyFont="1"/>
    <xf numFmtId="44" fontId="11" fillId="0" borderId="0" xfId="0" applyNumberFormat="1" applyFont="1"/>
    <xf numFmtId="164" fontId="11" fillId="0" borderId="0" xfId="0" applyNumberFormat="1" applyFont="1"/>
    <xf numFmtId="164" fontId="9" fillId="0" borderId="0" xfId="2" applyNumberFormat="1" applyFill="1" applyBorder="1"/>
    <xf numFmtId="164" fontId="11" fillId="0" borderId="2" xfId="0" applyNumberFormat="1" applyFont="1" applyBorder="1"/>
    <xf numFmtId="164" fontId="9" fillId="2" borderId="3" xfId="2" applyNumberFormat="1" applyBorder="1"/>
    <xf numFmtId="0" fontId="7" fillId="0" borderId="1" xfId="0" applyFont="1" applyBorder="1"/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3" fillId="0" borderId="0" xfId="0" applyFont="1"/>
    <xf numFmtId="0" fontId="11" fillId="0" borderId="2" xfId="0" applyFont="1" applyBorder="1" applyAlignment="1">
      <alignment horizontal="right" indent="1"/>
    </xf>
    <xf numFmtId="44" fontId="14" fillId="0" borderId="0" xfId="0" applyNumberFormat="1" applyFont="1" applyAlignment="1">
      <alignment horizontal="center"/>
    </xf>
    <xf numFmtId="44" fontId="0" fillId="0" borderId="2" xfId="0" applyNumberFormat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5" fillId="2" borderId="0" xfId="2" applyFont="1"/>
    <xf numFmtId="164" fontId="9" fillId="2" borderId="4" xfId="2" applyNumberFormat="1" applyBorder="1"/>
    <xf numFmtId="164" fontId="16" fillId="2" borderId="0" xfId="2" applyNumberFormat="1" applyFont="1" applyBorder="1" applyAlignment="1">
      <alignment horizontal="center"/>
    </xf>
    <xf numFmtId="8" fontId="0" fillId="0" borderId="0" xfId="0" applyNumberFormat="1"/>
    <xf numFmtId="0" fontId="17" fillId="0" borderId="0" xfId="0" applyFont="1"/>
    <xf numFmtId="0" fontId="19" fillId="0" borderId="0" xfId="0" applyFont="1"/>
    <xf numFmtId="0" fontId="9" fillId="3" borderId="0" xfId="2" applyFill="1"/>
    <xf numFmtId="9" fontId="0" fillId="0" borderId="1" xfId="3" applyFont="1" applyBorder="1" applyAlignment="1">
      <alignment horizontal="center"/>
    </xf>
    <xf numFmtId="9" fontId="0" fillId="0" borderId="9" xfId="3" applyFont="1" applyBorder="1" applyAlignment="1">
      <alignment horizontal="center"/>
    </xf>
    <xf numFmtId="44" fontId="0" fillId="3" borderId="1" xfId="1" applyFont="1" applyFill="1" applyBorder="1"/>
    <xf numFmtId="44" fontId="0" fillId="3" borderId="11" xfId="1" applyFont="1" applyFill="1" applyBorder="1"/>
    <xf numFmtId="9" fontId="0" fillId="0" borderId="0" xfId="3" applyFont="1" applyFill="1" applyBorder="1"/>
    <xf numFmtId="0" fontId="7" fillId="0" borderId="0" xfId="0" applyFont="1" applyAlignment="1">
      <alignment horizontal="center" wrapText="1"/>
    </xf>
    <xf numFmtId="1" fontId="0" fillId="0" borderId="0" xfId="3" applyNumberFormat="1" applyFont="1" applyFill="1" applyBorder="1"/>
    <xf numFmtId="0" fontId="3" fillId="0" borderId="0" xfId="0" applyFont="1"/>
    <xf numFmtId="8" fontId="0" fillId="0" borderId="1" xfId="0" applyNumberFormat="1" applyBorder="1"/>
    <xf numFmtId="9" fontId="3" fillId="0" borderId="0" xfId="3" applyFont="1"/>
    <xf numFmtId="9" fontId="0" fillId="0" borderId="0" xfId="3" applyFont="1"/>
    <xf numFmtId="0" fontId="20" fillId="0" borderId="0" xfId="0" applyFont="1" applyAlignment="1">
      <alignment wrapText="1"/>
    </xf>
    <xf numFmtId="44" fontId="18" fillId="0" borderId="0" xfId="1" applyFont="1"/>
    <xf numFmtId="44" fontId="0" fillId="0" borderId="0" xfId="1" applyFont="1" applyAlignment="1">
      <alignment horizontal="left"/>
    </xf>
    <xf numFmtId="44" fontId="0" fillId="0" borderId="9" xfId="1" applyFont="1" applyBorder="1"/>
    <xf numFmtId="44" fontId="0" fillId="3" borderId="9" xfId="1" applyFont="1" applyFill="1" applyBorder="1"/>
    <xf numFmtId="44" fontId="0" fillId="3" borderId="12" xfId="1" applyFont="1" applyFill="1" applyBorder="1"/>
    <xf numFmtId="165" fontId="0" fillId="0" borderId="0" xfId="8" applyNumberFormat="1" applyFont="1"/>
    <xf numFmtId="165" fontId="0" fillId="0" borderId="8" xfId="8" applyNumberFormat="1" applyFont="1" applyBorder="1"/>
    <xf numFmtId="165" fontId="3" fillId="0" borderId="8" xfId="8" applyNumberFormat="1" applyFont="1" applyBorder="1"/>
    <xf numFmtId="165" fontId="0" fillId="0" borderId="1" xfId="8" applyNumberFormat="1" applyFont="1" applyBorder="1"/>
    <xf numFmtId="165" fontId="0" fillId="0" borderId="9" xfId="8" applyNumberFormat="1" applyFont="1" applyBorder="1"/>
    <xf numFmtId="165" fontId="0" fillId="0" borderId="14" xfId="8" applyNumberFormat="1" applyFont="1" applyBorder="1"/>
    <xf numFmtId="165" fontId="3" fillId="0" borderId="8" xfId="8" quotePrefix="1" applyNumberFormat="1" applyFont="1" applyBorder="1"/>
    <xf numFmtId="165" fontId="0" fillId="3" borderId="1" xfId="8" applyNumberFormat="1" applyFont="1" applyFill="1" applyBorder="1"/>
    <xf numFmtId="165" fontId="3" fillId="0" borderId="1" xfId="8" applyNumberFormat="1" applyFont="1" applyBorder="1"/>
    <xf numFmtId="165" fontId="3" fillId="0" borderId="9" xfId="8" applyNumberFormat="1" applyFont="1" applyBorder="1"/>
    <xf numFmtId="165" fontId="3" fillId="0" borderId="10" xfId="8" applyNumberFormat="1" applyFont="1" applyBorder="1"/>
    <xf numFmtId="165" fontId="0" fillId="0" borderId="11" xfId="8" applyNumberFormat="1" applyFont="1" applyBorder="1"/>
    <xf numFmtId="165" fontId="0" fillId="0" borderId="12" xfId="8" applyNumberFormat="1" applyFont="1" applyBorder="1"/>
    <xf numFmtId="165" fontId="0" fillId="0" borderId="0" xfId="8" applyNumberFormat="1" applyFont="1" applyBorder="1"/>
    <xf numFmtId="165" fontId="0" fillId="0" borderId="8" xfId="8" applyNumberFormat="1" applyFont="1" applyBorder="1" applyAlignment="1">
      <alignment horizontal="center"/>
    </xf>
    <xf numFmtId="165" fontId="0" fillId="3" borderId="1" xfId="8" applyNumberFormat="1" applyFont="1" applyFill="1" applyBorder="1" applyAlignment="1">
      <alignment horizontal="center"/>
    </xf>
    <xf numFmtId="165" fontId="0" fillId="3" borderId="9" xfId="8" applyNumberFormat="1" applyFont="1" applyFill="1" applyBorder="1" applyAlignment="1">
      <alignment horizontal="center"/>
    </xf>
    <xf numFmtId="165" fontId="0" fillId="0" borderId="10" xfId="8" applyNumberFormat="1" applyFont="1" applyBorder="1"/>
    <xf numFmtId="165" fontId="0" fillId="3" borderId="11" xfId="8" applyNumberFormat="1" applyFont="1" applyFill="1" applyBorder="1" applyAlignment="1">
      <alignment horizontal="center"/>
    </xf>
    <xf numFmtId="165" fontId="0" fillId="3" borderId="12" xfId="8" applyNumberFormat="1" applyFont="1" applyFill="1" applyBorder="1" applyAlignment="1">
      <alignment horizontal="center"/>
    </xf>
    <xf numFmtId="165" fontId="0" fillId="3" borderId="9" xfId="8" applyNumberFormat="1" applyFont="1" applyFill="1" applyBorder="1"/>
    <xf numFmtId="165" fontId="0" fillId="3" borderId="11" xfId="8" applyNumberFormat="1" applyFont="1" applyFill="1" applyBorder="1"/>
    <xf numFmtId="165" fontId="0" fillId="3" borderId="12" xfId="8" applyNumberFormat="1" applyFont="1" applyFill="1" applyBorder="1"/>
    <xf numFmtId="165" fontId="7" fillId="0" borderId="0" xfId="8" applyNumberFormat="1" applyFont="1" applyAlignment="1">
      <alignment horizontal="center" wrapText="1"/>
    </xf>
    <xf numFmtId="165" fontId="21" fillId="0" borderId="0" xfId="8" applyNumberFormat="1" applyFont="1" applyBorder="1"/>
    <xf numFmtId="165" fontId="3" fillId="0" borderId="0" xfId="8" applyNumberFormat="1" applyFont="1" applyBorder="1" applyAlignment="1">
      <alignment horizontal="center"/>
    </xf>
    <xf numFmtId="165" fontId="3" fillId="0" borderId="12" xfId="8" applyNumberFormat="1" applyFont="1" applyBorder="1"/>
    <xf numFmtId="165" fontId="0" fillId="0" borderId="13" xfId="8" applyNumberFormat="1" applyFont="1" applyBorder="1"/>
    <xf numFmtId="165" fontId="7" fillId="0" borderId="8" xfId="8" applyNumberFormat="1" applyFont="1" applyBorder="1"/>
    <xf numFmtId="165" fontId="0" fillId="0" borderId="10" xfId="8" applyNumberFormat="1" applyFont="1" applyFill="1" applyBorder="1"/>
    <xf numFmtId="43" fontId="0" fillId="0" borderId="1" xfId="8" applyFont="1" applyBorder="1"/>
    <xf numFmtId="43" fontId="0" fillId="0" borderId="9" xfId="8" applyFont="1" applyBorder="1"/>
    <xf numFmtId="0" fontId="0" fillId="0" borderId="1" xfId="8" applyNumberFormat="1" applyFont="1" applyBorder="1"/>
    <xf numFmtId="0" fontId="0" fillId="0" borderId="9" xfId="8" applyNumberFormat="1" applyFont="1" applyBorder="1"/>
    <xf numFmtId="44" fontId="0" fillId="0" borderId="11" xfId="1" applyFont="1" applyBorder="1"/>
    <xf numFmtId="44" fontId="0" fillId="0" borderId="12" xfId="1" applyFont="1" applyBorder="1"/>
    <xf numFmtId="0" fontId="0" fillId="0" borderId="1" xfId="8" applyNumberFormat="1" applyFont="1" applyBorder="1" applyAlignment="1">
      <alignment horizontal="center"/>
    </xf>
    <xf numFmtId="0" fontId="0" fillId="0" borderId="9" xfId="8" applyNumberFormat="1" applyFont="1" applyBorder="1" applyAlignment="1">
      <alignment horizontal="center"/>
    </xf>
    <xf numFmtId="165" fontId="3" fillId="0" borderId="8" xfId="8" applyNumberFormat="1" applyFont="1" applyBorder="1" applyAlignment="1">
      <alignment horizontal="left"/>
    </xf>
    <xf numFmtId="165" fontId="3" fillId="0" borderId="17" xfId="8" applyNumberFormat="1" applyFont="1" applyBorder="1"/>
    <xf numFmtId="165" fontId="3" fillId="0" borderId="10" xfId="8" quotePrefix="1" applyNumberFormat="1" applyFont="1" applyBorder="1"/>
    <xf numFmtId="165" fontId="0" fillId="0" borderId="20" xfId="8" applyNumberFormat="1" applyFont="1" applyBorder="1"/>
    <xf numFmtId="165" fontId="0" fillId="0" borderId="17" xfId="8" applyNumberFormat="1" applyFont="1" applyBorder="1"/>
    <xf numFmtId="44" fontId="0" fillId="0" borderId="0" xfId="1" applyFont="1" applyFill="1" applyBorder="1"/>
    <xf numFmtId="165" fontId="3" fillId="0" borderId="0" xfId="8" applyNumberFormat="1" applyFont="1" applyBorder="1"/>
    <xf numFmtId="44" fontId="0" fillId="0" borderId="0" xfId="1" applyFont="1" applyBorder="1"/>
    <xf numFmtId="44" fontId="3" fillId="0" borderId="11" xfId="1" applyFont="1" applyBorder="1"/>
    <xf numFmtId="44" fontId="0" fillId="0" borderId="13" xfId="1" applyFont="1" applyBorder="1"/>
    <xf numFmtId="165" fontId="0" fillId="0" borderId="1" xfId="8" applyNumberFormat="1" applyFont="1" applyBorder="1" applyAlignment="1"/>
    <xf numFmtId="165" fontId="0" fillId="0" borderId="5" xfId="8" applyNumberFormat="1" applyFont="1" applyBorder="1"/>
    <xf numFmtId="44" fontId="0" fillId="0" borderId="11" xfId="1" applyFont="1" applyFill="1" applyBorder="1"/>
    <xf numFmtId="44" fontId="0" fillId="0" borderId="12" xfId="1" applyFont="1" applyFill="1" applyBorder="1"/>
    <xf numFmtId="165" fontId="0" fillId="0" borderId="0" xfId="8" applyNumberFormat="1" applyFont="1" applyFill="1" applyBorder="1"/>
    <xf numFmtId="165" fontId="0" fillId="0" borderId="0" xfId="8" applyNumberFormat="1" applyFont="1" applyBorder="1" applyAlignment="1">
      <alignment horizontal="center"/>
    </xf>
    <xf numFmtId="165" fontId="0" fillId="0" borderId="10" xfId="8" applyNumberFormat="1" applyFont="1" applyBorder="1" applyAlignment="1"/>
    <xf numFmtId="165" fontId="0" fillId="0" borderId="24" xfId="8" applyNumberFormat="1" applyFont="1" applyBorder="1" applyAlignment="1"/>
    <xf numFmtId="44" fontId="0" fillId="3" borderId="25" xfId="1" applyFont="1" applyFill="1" applyBorder="1"/>
    <xf numFmtId="44" fontId="0" fillId="3" borderId="26" xfId="1" applyFont="1" applyFill="1" applyBorder="1"/>
    <xf numFmtId="165" fontId="0" fillId="0" borderId="27" xfId="8" applyNumberFormat="1" applyFont="1" applyBorder="1"/>
    <xf numFmtId="44" fontId="0" fillId="3" borderId="28" xfId="1" applyFont="1" applyFill="1" applyBorder="1"/>
    <xf numFmtId="44" fontId="0" fillId="3" borderId="29" xfId="1" applyFont="1" applyFill="1" applyBorder="1"/>
    <xf numFmtId="165" fontId="0" fillId="0" borderId="23" xfId="8" applyNumberFormat="1" applyFont="1" applyBorder="1"/>
    <xf numFmtId="44" fontId="0" fillId="0" borderId="28" xfId="1" applyFont="1" applyBorder="1"/>
    <xf numFmtId="44" fontId="0" fillId="0" borderId="29" xfId="1" applyFont="1" applyBorder="1"/>
    <xf numFmtId="165" fontId="0" fillId="0" borderId="6" xfId="8" applyNumberFormat="1" applyFont="1" applyBorder="1"/>
    <xf numFmtId="165" fontId="0" fillId="0" borderId="7" xfId="8" applyNumberFormat="1" applyFont="1" applyBorder="1"/>
    <xf numFmtId="165" fontId="0" fillId="0" borderId="20" xfId="8" quotePrefix="1" applyNumberFormat="1" applyFont="1" applyBorder="1"/>
    <xf numFmtId="165" fontId="7" fillId="0" borderId="5" xfId="8" applyNumberFormat="1" applyFont="1" applyBorder="1"/>
    <xf numFmtId="9" fontId="0" fillId="3" borderId="11" xfId="3" applyFont="1" applyFill="1" applyBorder="1"/>
    <xf numFmtId="9" fontId="0" fillId="3" borderId="12" xfId="3" applyFont="1" applyFill="1" applyBorder="1"/>
    <xf numFmtId="0" fontId="3" fillId="0" borderId="0" xfId="0" applyFont="1" applyAlignment="1">
      <alignment horizontal="right"/>
    </xf>
    <xf numFmtId="0" fontId="0" fillId="0" borderId="6" xfId="8" applyNumberFormat="1" applyFont="1" applyBorder="1" applyAlignment="1">
      <alignment horizontal="center"/>
    </xf>
    <xf numFmtId="0" fontId="0" fillId="0" borderId="7" xfId="8" applyNumberFormat="1" applyFont="1" applyBorder="1" applyAlignment="1">
      <alignment horizontal="center"/>
    </xf>
    <xf numFmtId="14" fontId="0" fillId="0" borderId="0" xfId="0" applyNumberFormat="1"/>
    <xf numFmtId="0" fontId="1" fillId="0" borderId="0" xfId="0" applyFont="1"/>
    <xf numFmtId="0" fontId="0" fillId="0" borderId="0" xfId="1" applyNumberFormat="1" applyFont="1"/>
    <xf numFmtId="10" fontId="0" fillId="0" borderId="0" xfId="3" applyNumberFormat="1" applyFont="1"/>
    <xf numFmtId="165" fontId="3" fillId="0" borderId="30" xfId="8" applyNumberFormat="1" applyFont="1" applyBorder="1" applyAlignment="1">
      <alignment horizontal="left"/>
    </xf>
    <xf numFmtId="9" fontId="3" fillId="0" borderId="2" xfId="3" applyFont="1" applyBorder="1" applyAlignment="1">
      <alignment horizontal="center"/>
    </xf>
    <xf numFmtId="9" fontId="3" fillId="0" borderId="31" xfId="3" applyFont="1" applyBorder="1" applyAlignment="1">
      <alignment horizontal="center"/>
    </xf>
    <xf numFmtId="165" fontId="7" fillId="0" borderId="32" xfId="8" applyNumberFormat="1" applyFont="1" applyBorder="1"/>
    <xf numFmtId="165" fontId="21" fillId="0" borderId="0" xfId="8" applyNumberFormat="1" applyFont="1" applyBorder="1" applyAlignment="1"/>
    <xf numFmtId="165" fontId="21" fillId="0" borderId="34" xfId="8" applyNumberFormat="1" applyFont="1" applyBorder="1"/>
    <xf numFmtId="165" fontId="21" fillId="0" borderId="35" xfId="8" applyNumberFormat="1" applyFont="1" applyBorder="1"/>
    <xf numFmtId="8" fontId="0" fillId="0" borderId="0" xfId="1" applyNumberFormat="1" applyFont="1"/>
    <xf numFmtId="0" fontId="3" fillId="0" borderId="1" xfId="0" applyFont="1" applyBorder="1"/>
    <xf numFmtId="9" fontId="21" fillId="0" borderId="0" xfId="3" applyFont="1" applyBorder="1"/>
    <xf numFmtId="165" fontId="3" fillId="0" borderId="0" xfId="8" applyNumberFormat="1" applyFont="1"/>
    <xf numFmtId="165" fontId="3" fillId="0" borderId="36" xfId="8" applyNumberFormat="1" applyFont="1" applyBorder="1" applyAlignment="1">
      <alignment horizontal="center"/>
    </xf>
    <xf numFmtId="165" fontId="3" fillId="0" borderId="37" xfId="8" applyNumberFormat="1" applyFont="1" applyBorder="1" applyAlignment="1">
      <alignment horizontal="center"/>
    </xf>
    <xf numFmtId="44" fontId="3" fillId="0" borderId="12" xfId="1" applyFont="1" applyBorder="1"/>
    <xf numFmtId="44" fontId="0" fillId="0" borderId="20" xfId="1" applyFont="1" applyBorder="1"/>
    <xf numFmtId="165" fontId="0" fillId="0" borderId="35" xfId="8" applyNumberFormat="1" applyFont="1" applyBorder="1"/>
    <xf numFmtId="165" fontId="3" fillId="0" borderId="38" xfId="8" applyNumberFormat="1" applyFont="1" applyBorder="1"/>
    <xf numFmtId="165" fontId="23" fillId="0" borderId="0" xfId="8" applyNumberFormat="1" applyFont="1"/>
    <xf numFmtId="44" fontId="23" fillId="0" borderId="33" xfId="1" applyFont="1" applyBorder="1"/>
    <xf numFmtId="9" fontId="23" fillId="0" borderId="0" xfId="3" applyFont="1" applyBorder="1"/>
    <xf numFmtId="44" fontId="23" fillId="0" borderId="10" xfId="1" applyFont="1" applyBorder="1"/>
    <xf numFmtId="9" fontId="23" fillId="0" borderId="39" xfId="3" applyFont="1" applyBorder="1"/>
    <xf numFmtId="165" fontId="23" fillId="0" borderId="13" xfId="8" applyNumberFormat="1" applyFont="1" applyBorder="1"/>
    <xf numFmtId="165" fontId="23" fillId="0" borderId="1" xfId="8" applyNumberFormat="1" applyFont="1" applyBorder="1"/>
    <xf numFmtId="165" fontId="23" fillId="0" borderId="9" xfId="8" applyNumberFormat="1" applyFont="1" applyBorder="1"/>
    <xf numFmtId="9" fontId="23" fillId="3" borderId="1" xfId="3" applyFont="1" applyFill="1" applyBorder="1"/>
    <xf numFmtId="9" fontId="23" fillId="3" borderId="9" xfId="3" applyFont="1" applyFill="1" applyBorder="1"/>
    <xf numFmtId="44" fontId="23" fillId="0" borderId="1" xfId="1" applyFont="1" applyBorder="1"/>
    <xf numFmtId="44" fontId="23" fillId="0" borderId="9" xfId="1" applyFont="1" applyBorder="1"/>
    <xf numFmtId="44" fontId="23" fillId="0" borderId="11" xfId="1" applyFont="1" applyBorder="1"/>
    <xf numFmtId="44" fontId="23" fillId="0" borderId="12" xfId="1" applyFont="1" applyBorder="1"/>
    <xf numFmtId="165" fontId="23" fillId="0" borderId="36" xfId="8" applyNumberFormat="1" applyFont="1" applyBorder="1" applyAlignment="1">
      <alignment horizontal="center"/>
    </xf>
    <xf numFmtId="165" fontId="23" fillId="0" borderId="1" xfId="8" applyNumberFormat="1" applyFont="1" applyBorder="1" applyAlignment="1">
      <alignment horizontal="center"/>
    </xf>
    <xf numFmtId="165" fontId="23" fillId="0" borderId="9" xfId="8" applyNumberFormat="1" applyFont="1" applyBorder="1" applyAlignment="1">
      <alignment horizontal="center"/>
    </xf>
    <xf numFmtId="166" fontId="0" fillId="0" borderId="0" xfId="3" applyNumberFormat="1" applyFont="1"/>
    <xf numFmtId="165" fontId="3" fillId="0" borderId="3" xfId="8" quotePrefix="1" applyNumberFormat="1" applyFont="1" applyBorder="1"/>
    <xf numFmtId="44" fontId="0" fillId="0" borderId="3" xfId="1" applyFont="1" applyBorder="1"/>
    <xf numFmtId="165" fontId="3" fillId="0" borderId="3" xfId="8" applyNumberFormat="1" applyFont="1" applyBorder="1"/>
    <xf numFmtId="44" fontId="3" fillId="0" borderId="3" xfId="1" applyFont="1" applyBorder="1"/>
    <xf numFmtId="165" fontId="3" fillId="0" borderId="8" xfId="8" applyNumberFormat="1" applyFont="1" applyFill="1" applyBorder="1"/>
    <xf numFmtId="165" fontId="23" fillId="0" borderId="1" xfId="8" applyNumberFormat="1" applyFont="1" applyFill="1" applyBorder="1"/>
    <xf numFmtId="43" fontId="23" fillId="0" borderId="1" xfId="8" applyFont="1" applyFill="1" applyBorder="1"/>
    <xf numFmtId="165" fontId="23" fillId="0" borderId="9" xfId="8" applyNumberFormat="1" applyFont="1" applyFill="1" applyBorder="1"/>
    <xf numFmtId="9" fontId="23" fillId="0" borderId="1" xfId="3" applyFont="1" applyBorder="1"/>
    <xf numFmtId="9" fontId="23" fillId="0" borderId="9" xfId="3" applyFont="1" applyBorder="1"/>
    <xf numFmtId="44" fontId="0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165" fontId="0" fillId="0" borderId="6" xfId="8" applyNumberFormat="1" applyFont="1" applyBorder="1" applyAlignment="1">
      <alignment horizontal="center"/>
    </xf>
    <xf numFmtId="165" fontId="0" fillId="0" borderId="7" xfId="8" applyNumberFormat="1" applyFont="1" applyBorder="1" applyAlignment="1">
      <alignment horizontal="center"/>
    </xf>
    <xf numFmtId="165" fontId="0" fillId="0" borderId="1" xfId="8" applyNumberFormat="1" applyFont="1" applyBorder="1" applyAlignment="1">
      <alignment horizontal="center"/>
    </xf>
    <xf numFmtId="165" fontId="0" fillId="0" borderId="9" xfId="8" applyNumberFormat="1" applyFont="1" applyBorder="1" applyAlignment="1">
      <alignment horizontal="center"/>
    </xf>
    <xf numFmtId="165" fontId="21" fillId="0" borderId="21" xfId="8" applyNumberFormat="1" applyFont="1" applyBorder="1" applyAlignment="1">
      <alignment horizontal="center"/>
    </xf>
    <xf numFmtId="165" fontId="21" fillId="0" borderId="22" xfId="8" applyNumberFormat="1" applyFont="1" applyBorder="1" applyAlignment="1">
      <alignment horizontal="center"/>
    </xf>
    <xf numFmtId="165" fontId="0" fillId="0" borderId="5" xfId="8" applyNumberFormat="1" applyFont="1" applyBorder="1" applyAlignment="1">
      <alignment horizontal="center"/>
    </xf>
    <xf numFmtId="165" fontId="3" fillId="0" borderId="5" xfId="8" applyNumberFormat="1" applyFont="1" applyBorder="1" applyAlignment="1">
      <alignment horizontal="center"/>
    </xf>
    <xf numFmtId="165" fontId="3" fillId="0" borderId="6" xfId="8" applyNumberFormat="1" applyFont="1" applyBorder="1" applyAlignment="1">
      <alignment horizontal="center"/>
    </xf>
    <xf numFmtId="165" fontId="3" fillId="0" borderId="7" xfId="8" applyNumberFormat="1" applyFont="1" applyBorder="1" applyAlignment="1">
      <alignment horizontal="center"/>
    </xf>
    <xf numFmtId="165" fontId="21" fillId="0" borderId="5" xfId="8" applyNumberFormat="1" applyFont="1" applyBorder="1" applyAlignment="1">
      <alignment horizontal="center"/>
    </xf>
    <xf numFmtId="165" fontId="21" fillId="0" borderId="7" xfId="8" applyNumberFormat="1" applyFont="1" applyBorder="1" applyAlignment="1">
      <alignment horizontal="center"/>
    </xf>
    <xf numFmtId="165" fontId="21" fillId="0" borderId="0" xfId="8" applyNumberFormat="1" applyFont="1" applyBorder="1" applyAlignment="1">
      <alignment horizontal="center"/>
    </xf>
    <xf numFmtId="165" fontId="0" fillId="0" borderId="6" xfId="8" applyNumberFormat="1" applyFont="1" applyFill="1" applyBorder="1" applyAlignment="1">
      <alignment horizontal="center"/>
    </xf>
    <xf numFmtId="165" fontId="3" fillId="0" borderId="16" xfId="8" applyNumberFormat="1" applyFont="1" applyBorder="1" applyAlignment="1">
      <alignment horizontal="center"/>
    </xf>
    <xf numFmtId="165" fontId="3" fillId="0" borderId="18" xfId="8" applyNumberFormat="1" applyFont="1" applyBorder="1" applyAlignment="1">
      <alignment horizontal="center"/>
    </xf>
    <xf numFmtId="165" fontId="3" fillId="0" borderId="19" xfId="8" applyNumberFormat="1" applyFont="1" applyBorder="1" applyAlignment="1">
      <alignment horizontal="center"/>
    </xf>
    <xf numFmtId="165" fontId="0" fillId="0" borderId="16" xfId="8" applyNumberFormat="1" applyFont="1" applyBorder="1" applyAlignment="1">
      <alignment horizontal="center"/>
    </xf>
    <xf numFmtId="165" fontId="0" fillId="0" borderId="18" xfId="8" applyNumberFormat="1" applyFont="1" applyBorder="1" applyAlignment="1">
      <alignment horizontal="center"/>
    </xf>
    <xf numFmtId="165" fontId="0" fillId="0" borderId="19" xfId="8" applyNumberFormat="1" applyFont="1" applyBorder="1" applyAlignment="1">
      <alignment horizontal="center"/>
    </xf>
    <xf numFmtId="165" fontId="3" fillId="0" borderId="30" xfId="8" applyNumberFormat="1" applyFont="1" applyBorder="1" applyAlignment="1">
      <alignment horizontal="center"/>
    </xf>
    <xf numFmtId="165" fontId="3" fillId="0" borderId="2" xfId="8" applyNumberFormat="1" applyFont="1" applyBorder="1" applyAlignment="1">
      <alignment horizontal="center"/>
    </xf>
    <xf numFmtId="165" fontId="3" fillId="0" borderId="31" xfId="8" applyNumberFormat="1" applyFont="1" applyBorder="1" applyAlignment="1">
      <alignment horizontal="center"/>
    </xf>
    <xf numFmtId="165" fontId="3" fillId="0" borderId="21" xfId="8" applyNumberFormat="1" applyFont="1" applyBorder="1" applyAlignment="1">
      <alignment horizontal="center"/>
    </xf>
    <xf numFmtId="165" fontId="3" fillId="0" borderId="15" xfId="8" applyNumberFormat="1" applyFont="1" applyBorder="1" applyAlignment="1">
      <alignment horizontal="center"/>
    </xf>
    <xf numFmtId="165" fontId="3" fillId="0" borderId="22" xfId="8" applyNumberFormat="1" applyFont="1" applyBorder="1" applyAlignment="1">
      <alignment horizontal="center"/>
    </xf>
    <xf numFmtId="165" fontId="0" fillId="0" borderId="7" xfId="8" applyNumberFormat="1" applyFont="1" applyFill="1" applyBorder="1" applyAlignment="1">
      <alignment horizontal="center"/>
    </xf>
  </cellXfs>
  <cellStyles count="9">
    <cellStyle name="Comma" xfId="8" builtinId="3"/>
    <cellStyle name="Comma 2" xfId="6"/>
    <cellStyle name="Currency" xfId="1" builtinId="4"/>
    <cellStyle name="Currency 2" xfId="7"/>
    <cellStyle name="Good" xfId="2" builtinId="26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9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0</xdr:row>
      <xdr:rowOff>0</xdr:rowOff>
    </xdr:from>
    <xdr:to>
      <xdr:col>4</xdr:col>
      <xdr:colOff>857250</xdr:colOff>
      <xdr:row>5</xdr:row>
      <xdr:rowOff>55245</xdr:rowOff>
    </xdr:to>
    <xdr:pic>
      <xdr:nvPicPr>
        <xdr:cNvPr id="3197" name="Picture 1">
          <a:extLst>
            <a:ext uri="{FF2B5EF4-FFF2-40B4-BE49-F238E27FC236}">
              <a16:creationId xmlns:a16="http://schemas.microsoft.com/office/drawing/2014/main" id="{8EF89E79-B0A5-4B51-AB50-79B3ED41F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06"/>
        <a:stretch>
          <a:fillRect/>
        </a:stretch>
      </xdr:blipFill>
      <xdr:spPr bwMode="auto">
        <a:xfrm>
          <a:off x="3741420" y="0"/>
          <a:ext cx="200406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582930</xdr:colOff>
      <xdr:row>0</xdr:row>
      <xdr:rowOff>0</xdr:rowOff>
    </xdr:from>
    <xdr:to>
      <xdr:col>4</xdr:col>
      <xdr:colOff>817245</xdr:colOff>
      <xdr:row>4</xdr:row>
      <xdr:rowOff>131445</xdr:rowOff>
    </xdr:to>
    <xdr:pic>
      <xdr:nvPicPr>
        <xdr:cNvPr id="2174" name="Picture 1">
          <a:extLst>
            <a:ext uri="{FF2B5EF4-FFF2-40B4-BE49-F238E27FC236}">
              <a16:creationId xmlns:a16="http://schemas.microsoft.com/office/drawing/2014/main" id="{728041CC-8961-425D-B8D6-750554053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06"/>
        <a:stretch>
          <a:fillRect/>
        </a:stretch>
      </xdr:blipFill>
      <xdr:spPr bwMode="auto">
        <a:xfrm>
          <a:off x="5375910" y="0"/>
          <a:ext cx="2074545" cy="874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28575</xdr:rowOff>
    </xdr:from>
    <xdr:to>
      <xdr:col>4</xdr:col>
      <xdr:colOff>857250</xdr:colOff>
      <xdr:row>5</xdr:row>
      <xdr:rowOff>19050</xdr:rowOff>
    </xdr:to>
    <xdr:pic>
      <xdr:nvPicPr>
        <xdr:cNvPr id="6194" name="Picture 1">
          <a:extLst>
            <a:ext uri="{FF2B5EF4-FFF2-40B4-BE49-F238E27FC236}">
              <a16:creationId xmlns:a16="http://schemas.microsoft.com/office/drawing/2014/main" id="{E26CF5F3-E38A-4464-A652-31AA4C4A0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06"/>
        <a:stretch>
          <a:fillRect/>
        </a:stretch>
      </xdr:blipFill>
      <xdr:spPr bwMode="auto">
        <a:xfrm>
          <a:off x="3676650" y="28575"/>
          <a:ext cx="211836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pencer Guinn" id="{7B693E13-246F-494D-804A-B8BF5C618EA1}" userId="Spencer Guin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1-09-28T15:47:57.75" personId="{7B693E13-246F-494D-804A-B8BF5C618EA1}" id="{9C0A2DEB-0BCD-4B8E-BAB0-1A5DCB37790F}">
    <text>what equipment do you see your clients have for only maple production?</text>
  </threadedComment>
  <threadedComment ref="A10" dT="2021-09-28T15:47:38.26" personId="{7B693E13-246F-494D-804A-B8BF5C618EA1}" id="{E20A9C63-1D2F-4666-9A61-24B7F5B00161}">
    <text>this would be the physical structure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"/>
  <sheetViews>
    <sheetView tabSelected="1" workbookViewId="0"/>
  </sheetViews>
  <sheetFormatPr defaultRowHeight="13.2" x14ac:dyDescent="0.25"/>
  <cols>
    <col min="1" max="1" width="31.88671875" bestFit="1" customWidth="1"/>
    <col min="2" max="2" width="12.44140625" bestFit="1" customWidth="1"/>
    <col min="3" max="3" width="12.33203125" style="4" bestFit="1" customWidth="1"/>
    <col min="4" max="5" width="11.44140625" bestFit="1" customWidth="1"/>
    <col min="6" max="6" width="14" customWidth="1"/>
    <col min="7" max="8" width="11.44140625" bestFit="1" customWidth="1"/>
    <col min="9" max="9" width="10.6640625" bestFit="1" customWidth="1"/>
    <col min="10" max="21" width="10.44140625" bestFit="1" customWidth="1"/>
  </cols>
  <sheetData>
    <row r="1" spans="1:23" x14ac:dyDescent="0.25">
      <c r="A1" t="s">
        <v>103</v>
      </c>
      <c r="B1" s="53">
        <v>0.1</v>
      </c>
      <c r="C1" s="182" t="s">
        <v>104</v>
      </c>
      <c r="D1" s="182"/>
      <c r="E1" s="182"/>
      <c r="F1" s="182"/>
    </row>
    <row r="2" spans="1:23" x14ac:dyDescent="0.25">
      <c r="B2" s="4"/>
      <c r="C2" s="56"/>
      <c r="D2" s="56"/>
      <c r="E2" s="56"/>
      <c r="F2" s="56"/>
    </row>
    <row r="3" spans="1:23" x14ac:dyDescent="0.25">
      <c r="A3" s="50" t="s">
        <v>259</v>
      </c>
      <c r="B3" s="4">
        <v>10</v>
      </c>
      <c r="C3" s="56"/>
      <c r="D3" s="56"/>
      <c r="E3" s="56"/>
      <c r="F3" s="56"/>
    </row>
    <row r="4" spans="1:23" x14ac:dyDescent="0.25">
      <c r="B4" s="4"/>
      <c r="C4" s="56"/>
      <c r="D4" s="56"/>
      <c r="E4" s="56"/>
      <c r="F4" s="56"/>
    </row>
    <row r="5" spans="1:23" x14ac:dyDescent="0.25">
      <c r="A5" s="183" t="s">
        <v>120</v>
      </c>
      <c r="B5" s="183"/>
      <c r="C5" s="183"/>
      <c r="D5" s="183"/>
      <c r="E5" s="183"/>
      <c r="F5" s="183"/>
      <c r="G5" s="183"/>
      <c r="H5" s="183"/>
      <c r="I5" s="183"/>
    </row>
    <row r="6" spans="1:23" x14ac:dyDescent="0.25">
      <c r="B6" s="4"/>
      <c r="F6" s="12" t="s">
        <v>105</v>
      </c>
    </row>
    <row r="7" spans="1:23" ht="14.4" x14ac:dyDescent="0.3">
      <c r="A7" s="40" t="s">
        <v>99</v>
      </c>
      <c r="B7" s="55" t="s">
        <v>236</v>
      </c>
      <c r="C7" s="55" t="s">
        <v>237</v>
      </c>
      <c r="D7" s="41" t="s">
        <v>100</v>
      </c>
      <c r="E7" s="54" t="s">
        <v>119</v>
      </c>
      <c r="F7" s="12">
        <v>1</v>
      </c>
    </row>
    <row r="8" spans="1:23" x14ac:dyDescent="0.25">
      <c r="A8" s="50" t="s">
        <v>260</v>
      </c>
      <c r="B8" s="4">
        <v>15000</v>
      </c>
      <c r="C8" s="4">
        <f>+B8*$B$1</f>
        <v>1500</v>
      </c>
      <c r="D8">
        <v>7</v>
      </c>
      <c r="E8" s="52">
        <v>1</v>
      </c>
      <c r="F8" s="51">
        <f>(B8-C8)/D8*E8</f>
        <v>1928.5714285714287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5">
      <c r="A9" t="s">
        <v>261</v>
      </c>
      <c r="B9" s="4">
        <v>4000</v>
      </c>
      <c r="C9" s="4">
        <f t="shared" ref="C9:C18" si="0">+B9*$B$1</f>
        <v>400</v>
      </c>
      <c r="D9">
        <v>10</v>
      </c>
      <c r="E9" s="53">
        <v>1</v>
      </c>
      <c r="F9" s="51">
        <f t="shared" ref="F9:F18" si="1">(B9-C9)/D9*E9</f>
        <v>360</v>
      </c>
    </row>
    <row r="10" spans="1:23" x14ac:dyDescent="0.25">
      <c r="A10" t="s">
        <v>262</v>
      </c>
      <c r="B10" s="4">
        <v>6000</v>
      </c>
      <c r="C10" s="4">
        <f t="shared" si="0"/>
        <v>600</v>
      </c>
      <c r="D10">
        <v>10</v>
      </c>
      <c r="E10" s="53">
        <v>1</v>
      </c>
      <c r="F10" s="51">
        <f t="shared" si="1"/>
        <v>540</v>
      </c>
    </row>
    <row r="11" spans="1:23" x14ac:dyDescent="0.25">
      <c r="A11" t="s">
        <v>101</v>
      </c>
      <c r="B11" s="4">
        <f>+$B$3*Assumptions!B17</f>
        <v>7500</v>
      </c>
      <c r="C11" s="4">
        <f t="shared" si="0"/>
        <v>750</v>
      </c>
      <c r="D11">
        <v>7</v>
      </c>
      <c r="E11" s="53">
        <v>1</v>
      </c>
      <c r="F11" s="51">
        <f t="shared" si="1"/>
        <v>964.28571428571433</v>
      </c>
    </row>
    <row r="12" spans="1:23" x14ac:dyDescent="0.25">
      <c r="A12" s="50" t="s">
        <v>263</v>
      </c>
      <c r="B12" s="4">
        <v>4200</v>
      </c>
      <c r="C12" s="4">
        <f t="shared" si="0"/>
        <v>420</v>
      </c>
      <c r="D12">
        <v>7</v>
      </c>
      <c r="E12" s="53">
        <v>1</v>
      </c>
      <c r="F12" s="51">
        <f t="shared" si="1"/>
        <v>540</v>
      </c>
    </row>
    <row r="13" spans="1:23" x14ac:dyDescent="0.25">
      <c r="A13" s="50" t="s">
        <v>264</v>
      </c>
      <c r="B13" s="4">
        <v>2610</v>
      </c>
      <c r="C13" s="4">
        <f t="shared" si="0"/>
        <v>261</v>
      </c>
      <c r="D13">
        <v>7</v>
      </c>
      <c r="E13" s="53">
        <v>1</v>
      </c>
      <c r="F13" s="51">
        <f t="shared" si="1"/>
        <v>335.57142857142856</v>
      </c>
    </row>
    <row r="14" spans="1:23" x14ac:dyDescent="0.25">
      <c r="A14" s="50" t="s">
        <v>265</v>
      </c>
      <c r="B14" s="4">
        <v>10495</v>
      </c>
      <c r="C14" s="4">
        <f t="shared" si="0"/>
        <v>1049.5</v>
      </c>
      <c r="D14">
        <v>7</v>
      </c>
      <c r="E14" s="53">
        <v>1</v>
      </c>
      <c r="F14" s="51">
        <f t="shared" si="1"/>
        <v>1349.3571428571429</v>
      </c>
    </row>
    <row r="15" spans="1:23" x14ac:dyDescent="0.25">
      <c r="A15" s="50" t="s">
        <v>266</v>
      </c>
      <c r="B15" s="4">
        <v>17610</v>
      </c>
      <c r="C15" s="4">
        <f t="shared" si="0"/>
        <v>1761</v>
      </c>
      <c r="D15">
        <v>7</v>
      </c>
      <c r="E15" s="53">
        <v>1</v>
      </c>
      <c r="F15" s="51">
        <f t="shared" si="1"/>
        <v>2264.1428571428573</v>
      </c>
    </row>
    <row r="16" spans="1:23" x14ac:dyDescent="0.25">
      <c r="A16" s="50" t="s">
        <v>267</v>
      </c>
      <c r="B16" s="4">
        <v>2620</v>
      </c>
      <c r="C16" s="4">
        <f t="shared" si="0"/>
        <v>262</v>
      </c>
      <c r="D16">
        <v>7</v>
      </c>
      <c r="E16" s="53">
        <v>1</v>
      </c>
      <c r="F16" s="51">
        <f t="shared" si="1"/>
        <v>336.85714285714283</v>
      </c>
    </row>
    <row r="17" spans="1:9" x14ac:dyDescent="0.25">
      <c r="A17" s="50" t="s">
        <v>268</v>
      </c>
      <c r="B17" s="4">
        <v>1100</v>
      </c>
      <c r="C17" s="4">
        <f t="shared" si="0"/>
        <v>110</v>
      </c>
      <c r="D17">
        <v>7</v>
      </c>
      <c r="E17" s="53">
        <v>1</v>
      </c>
      <c r="F17" s="51">
        <f t="shared" si="1"/>
        <v>141.42857142857142</v>
      </c>
    </row>
    <row r="18" spans="1:9" x14ac:dyDescent="0.25">
      <c r="A18" s="50"/>
      <c r="B18" s="4"/>
      <c r="C18" s="4">
        <f t="shared" si="0"/>
        <v>0</v>
      </c>
      <c r="D18">
        <v>7</v>
      </c>
      <c r="E18" s="53">
        <v>1</v>
      </c>
      <c r="F18" s="51">
        <f t="shared" si="1"/>
        <v>0</v>
      </c>
    </row>
    <row r="19" spans="1:9" x14ac:dyDescent="0.25">
      <c r="B19" s="4"/>
    </row>
    <row r="20" spans="1:9" x14ac:dyDescent="0.25">
      <c r="A20" s="50" t="s">
        <v>102</v>
      </c>
      <c r="B20" s="4">
        <f>+SUM(B8:B18)</f>
        <v>71135</v>
      </c>
      <c r="F20" s="39">
        <f>+SUM(F8:F18)</f>
        <v>8760.2142857142862</v>
      </c>
      <c r="I20" s="50"/>
    </row>
    <row r="22" spans="1:9" x14ac:dyDescent="0.25">
      <c r="A22" t="s">
        <v>212</v>
      </c>
    </row>
    <row r="23" spans="1:9" x14ac:dyDescent="0.25">
      <c r="A23" t="s">
        <v>213</v>
      </c>
      <c r="B23" s="17">
        <f>B20</f>
        <v>71135</v>
      </c>
    </row>
    <row r="24" spans="1:9" x14ac:dyDescent="0.25">
      <c r="A24" t="s">
        <v>214</v>
      </c>
      <c r="B24" s="53">
        <v>0.2</v>
      </c>
    </row>
    <row r="25" spans="1:9" x14ac:dyDescent="0.25">
      <c r="A25" t="s">
        <v>215</v>
      </c>
      <c r="B25" s="4">
        <f>+B23*B24</f>
        <v>14227</v>
      </c>
    </row>
    <row r="26" spans="1:9" x14ac:dyDescent="0.25">
      <c r="A26" t="s">
        <v>216</v>
      </c>
      <c r="B26" s="17">
        <f>B23-B25</f>
        <v>56908</v>
      </c>
    </row>
    <row r="27" spans="1:9" x14ac:dyDescent="0.25">
      <c r="A27" t="s">
        <v>217</v>
      </c>
      <c r="B27" s="171">
        <v>7.4999999999999997E-2</v>
      </c>
    </row>
    <row r="28" spans="1:9" x14ac:dyDescent="0.25">
      <c r="A28" t="s">
        <v>218</v>
      </c>
      <c r="B28">
        <v>7</v>
      </c>
    </row>
    <row r="29" spans="1:9" x14ac:dyDescent="0.25">
      <c r="A29" t="s">
        <v>219</v>
      </c>
      <c r="B29">
        <v>1</v>
      </c>
      <c r="C29" s="135">
        <v>2</v>
      </c>
      <c r="D29">
        <v>3</v>
      </c>
      <c r="E29">
        <v>4</v>
      </c>
      <c r="F29">
        <v>5</v>
      </c>
      <c r="G29">
        <v>6</v>
      </c>
      <c r="H29">
        <v>7</v>
      </c>
    </row>
    <row r="30" spans="1:9" x14ac:dyDescent="0.25">
      <c r="A30" t="s">
        <v>220</v>
      </c>
      <c r="B30" s="4">
        <f>ABS(IPMT($B$27,B29,$B$28,$B$26))</f>
        <v>4268.0999999999995</v>
      </c>
      <c r="C30" s="4">
        <f t="shared" ref="C30:H30" si="2">ABS(IPMT($B$27,C29,$B$28,$B$26))</f>
        <v>3782.3888738582777</v>
      </c>
      <c r="D30" s="4">
        <f t="shared" si="2"/>
        <v>3260.2494132559273</v>
      </c>
      <c r="E30" s="4">
        <f t="shared" si="2"/>
        <v>2698.9494931084</v>
      </c>
      <c r="F30" s="4">
        <f t="shared" si="2"/>
        <v>2095.5520789498078</v>
      </c>
      <c r="G30" s="4">
        <f t="shared" si="2"/>
        <v>1446.899858729322</v>
      </c>
      <c r="H30" s="4">
        <f t="shared" si="2"/>
        <v>749.59872199229926</v>
      </c>
    </row>
    <row r="31" spans="1:9" x14ac:dyDescent="0.25">
      <c r="A31" t="s">
        <v>221</v>
      </c>
      <c r="B31" s="4">
        <f>ABS(PPMT($B$27,B29,$B$28,$B$26))</f>
        <v>6476.1483485562903</v>
      </c>
      <c r="C31" s="4">
        <f t="shared" ref="C31:H31" si="3">ABS(PPMT($B$27,C29,$B$28,$B$26))</f>
        <v>6961.8594746980125</v>
      </c>
      <c r="D31" s="4">
        <f t="shared" si="3"/>
        <v>7483.998935300363</v>
      </c>
      <c r="E31" s="4">
        <f t="shared" si="3"/>
        <v>8045.2988554478907</v>
      </c>
      <c r="F31" s="4">
        <f t="shared" si="3"/>
        <v>8648.696269606482</v>
      </c>
      <c r="G31" s="4">
        <f t="shared" si="3"/>
        <v>9297.3484898269689</v>
      </c>
      <c r="H31" s="4">
        <f t="shared" si="3"/>
        <v>9994.6496265639908</v>
      </c>
    </row>
    <row r="32" spans="1:9" x14ac:dyDescent="0.25">
      <c r="A32" t="s">
        <v>222</v>
      </c>
      <c r="B32" s="17">
        <f>SUM(B30:B31)</f>
        <v>10744.24834855629</v>
      </c>
      <c r="C32" s="17">
        <f t="shared" ref="C32:H32" si="4">SUM(C30:C31)</f>
        <v>10744.24834855629</v>
      </c>
      <c r="D32" s="17">
        <f t="shared" si="4"/>
        <v>10744.24834855629</v>
      </c>
      <c r="E32" s="17">
        <f t="shared" si="4"/>
        <v>10744.248348556292</v>
      </c>
      <c r="F32" s="17">
        <f t="shared" si="4"/>
        <v>10744.24834855629</v>
      </c>
      <c r="G32" s="17">
        <f t="shared" si="4"/>
        <v>10744.248348556292</v>
      </c>
      <c r="H32" s="17">
        <f t="shared" si="4"/>
        <v>10744.24834855629</v>
      </c>
    </row>
    <row r="34" spans="1:21" x14ac:dyDescent="0.25">
      <c r="A34" t="s">
        <v>223</v>
      </c>
    </row>
    <row r="35" spans="1:21" x14ac:dyDescent="0.25">
      <c r="A35" t="s">
        <v>224</v>
      </c>
      <c r="B35">
        <v>0</v>
      </c>
    </row>
    <row r="36" spans="1:21" x14ac:dyDescent="0.25">
      <c r="A36" t="s">
        <v>225</v>
      </c>
      <c r="B36" s="4">
        <v>1500</v>
      </c>
    </row>
    <row r="37" spans="1:21" x14ac:dyDescent="0.25">
      <c r="A37" t="s">
        <v>226</v>
      </c>
      <c r="B37" s="4">
        <f>B35*B36</f>
        <v>0</v>
      </c>
    </row>
    <row r="38" spans="1:21" x14ac:dyDescent="0.25">
      <c r="A38" t="s">
        <v>214</v>
      </c>
      <c r="B38" s="53">
        <v>0.2</v>
      </c>
    </row>
    <row r="39" spans="1:21" x14ac:dyDescent="0.25">
      <c r="A39" t="s">
        <v>215</v>
      </c>
      <c r="B39" s="4">
        <f>+B37*B38</f>
        <v>0</v>
      </c>
    </row>
    <row r="40" spans="1:21" x14ac:dyDescent="0.25">
      <c r="A40" t="s">
        <v>227</v>
      </c>
      <c r="B40" s="17">
        <f>B37-B39</f>
        <v>0</v>
      </c>
    </row>
    <row r="41" spans="1:21" x14ac:dyDescent="0.25">
      <c r="A41" t="s">
        <v>217</v>
      </c>
      <c r="B41" s="136">
        <v>7.0000000000000007E-2</v>
      </c>
    </row>
    <row r="42" spans="1:21" x14ac:dyDescent="0.25">
      <c r="A42" t="s">
        <v>218</v>
      </c>
      <c r="B42">
        <v>30</v>
      </c>
    </row>
    <row r="43" spans="1:21" x14ac:dyDescent="0.25">
      <c r="A43" t="s">
        <v>219</v>
      </c>
      <c r="B43">
        <v>1</v>
      </c>
      <c r="C43" s="135">
        <v>2</v>
      </c>
      <c r="D43">
        <v>3</v>
      </c>
      <c r="E43">
        <v>4</v>
      </c>
      <c r="F43">
        <v>5</v>
      </c>
      <c r="G43">
        <v>6</v>
      </c>
      <c r="H43">
        <v>7</v>
      </c>
      <c r="I43">
        <v>8</v>
      </c>
      <c r="J43">
        <v>9</v>
      </c>
      <c r="K43">
        <v>10</v>
      </c>
      <c r="L43">
        <v>11</v>
      </c>
      <c r="M43">
        <v>12</v>
      </c>
      <c r="N43">
        <v>13</v>
      </c>
      <c r="O43">
        <v>14</v>
      </c>
      <c r="P43">
        <v>15</v>
      </c>
      <c r="Q43">
        <v>16</v>
      </c>
      <c r="R43">
        <v>17</v>
      </c>
      <c r="S43">
        <v>18</v>
      </c>
      <c r="T43">
        <v>19</v>
      </c>
      <c r="U43">
        <v>20</v>
      </c>
    </row>
    <row r="44" spans="1:21" x14ac:dyDescent="0.25">
      <c r="A44" t="s">
        <v>220</v>
      </c>
      <c r="B44" s="4">
        <f>ABS(IPMT($B$41,B43,$B$42,$B$40))</f>
        <v>0</v>
      </c>
      <c r="C44" s="4">
        <f t="shared" ref="C44:H44" si="5">ABS(IPMT($B$41,C43,$B$42,$B$40))</f>
        <v>0</v>
      </c>
      <c r="D44" s="4">
        <f t="shared" si="5"/>
        <v>0</v>
      </c>
      <c r="E44" s="4">
        <f t="shared" si="5"/>
        <v>0</v>
      </c>
      <c r="F44" s="4">
        <f t="shared" si="5"/>
        <v>0</v>
      </c>
      <c r="G44" s="4">
        <f t="shared" si="5"/>
        <v>0</v>
      </c>
      <c r="H44" s="4">
        <f t="shared" si="5"/>
        <v>0</v>
      </c>
      <c r="I44" s="4">
        <f t="shared" ref="I44" si="6">ABS(IPMT($B$41,I43,$B$42,$B$40))</f>
        <v>0</v>
      </c>
      <c r="J44" s="4">
        <f t="shared" ref="J44" si="7">ABS(IPMT($B$41,J43,$B$42,$B$40))</f>
        <v>0</v>
      </c>
      <c r="K44" s="4">
        <f t="shared" ref="K44" si="8">ABS(IPMT($B$41,K43,$B$42,$B$40))</f>
        <v>0</v>
      </c>
      <c r="L44" s="4">
        <f t="shared" ref="L44" si="9">ABS(IPMT($B$41,L43,$B$42,$B$40))</f>
        <v>0</v>
      </c>
      <c r="M44" s="4">
        <f t="shared" ref="M44" si="10">ABS(IPMT($B$41,M43,$B$42,$B$40))</f>
        <v>0</v>
      </c>
      <c r="N44" s="4">
        <f t="shared" ref="N44" si="11">ABS(IPMT($B$41,N43,$B$42,$B$40))</f>
        <v>0</v>
      </c>
      <c r="O44" s="4">
        <f t="shared" ref="O44" si="12">ABS(IPMT($B$41,O43,$B$42,$B$40))</f>
        <v>0</v>
      </c>
      <c r="P44" s="4">
        <f t="shared" ref="P44" si="13">ABS(IPMT($B$41,P43,$B$42,$B$40))</f>
        <v>0</v>
      </c>
      <c r="Q44" s="4">
        <f t="shared" ref="Q44" si="14">ABS(IPMT($B$41,Q43,$B$42,$B$40))</f>
        <v>0</v>
      </c>
      <c r="R44" s="4">
        <f t="shared" ref="R44" si="15">ABS(IPMT($B$41,R43,$B$42,$B$40))</f>
        <v>0</v>
      </c>
      <c r="S44" s="4">
        <f t="shared" ref="S44" si="16">ABS(IPMT($B$41,S43,$B$42,$B$40))</f>
        <v>0</v>
      </c>
      <c r="T44" s="4">
        <f t="shared" ref="T44" si="17">ABS(IPMT($B$41,T43,$B$42,$B$40))</f>
        <v>0</v>
      </c>
      <c r="U44" s="4">
        <f t="shared" ref="U44" si="18">ABS(IPMT($B$41,U43,$B$42,$B$40))</f>
        <v>0</v>
      </c>
    </row>
    <row r="45" spans="1:21" x14ac:dyDescent="0.25">
      <c r="A45" t="s">
        <v>221</v>
      </c>
      <c r="B45" s="4">
        <f>ABS(PPMT($B$41,B43,$B$42,$B$40))</f>
        <v>0</v>
      </c>
      <c r="C45" s="4">
        <f t="shared" ref="C45:H45" si="19">ABS(PPMT($B$41,C43,$B$42,$B$40))</f>
        <v>0</v>
      </c>
      <c r="D45" s="4">
        <f t="shared" si="19"/>
        <v>0</v>
      </c>
      <c r="E45" s="4">
        <f t="shared" si="19"/>
        <v>0</v>
      </c>
      <c r="F45" s="4">
        <f t="shared" si="19"/>
        <v>0</v>
      </c>
      <c r="G45" s="4">
        <f t="shared" si="19"/>
        <v>0</v>
      </c>
      <c r="H45" s="4">
        <f t="shared" si="19"/>
        <v>0</v>
      </c>
      <c r="I45" s="4">
        <f t="shared" ref="I45:P45" si="20">ABS(PPMT($B$41,I43,$B$42,$B$40))</f>
        <v>0</v>
      </c>
      <c r="J45" s="4">
        <f t="shared" si="20"/>
        <v>0</v>
      </c>
      <c r="K45" s="4">
        <f t="shared" si="20"/>
        <v>0</v>
      </c>
      <c r="L45" s="4">
        <f t="shared" si="20"/>
        <v>0</v>
      </c>
      <c r="M45" s="4">
        <f t="shared" si="20"/>
        <v>0</v>
      </c>
      <c r="N45" s="4">
        <f t="shared" si="20"/>
        <v>0</v>
      </c>
      <c r="O45" s="4">
        <f t="shared" si="20"/>
        <v>0</v>
      </c>
      <c r="P45" s="4">
        <f t="shared" si="20"/>
        <v>0</v>
      </c>
      <c r="Q45" s="4">
        <f t="shared" ref="Q45:U45" si="21">ABS(PPMT($B$41,Q43,$B$42,$B$40))</f>
        <v>0</v>
      </c>
      <c r="R45" s="4">
        <f t="shared" si="21"/>
        <v>0</v>
      </c>
      <c r="S45" s="4">
        <f t="shared" si="21"/>
        <v>0</v>
      </c>
      <c r="T45" s="4">
        <f t="shared" si="21"/>
        <v>0</v>
      </c>
      <c r="U45" s="4">
        <f t="shared" si="21"/>
        <v>0</v>
      </c>
    </row>
    <row r="46" spans="1:21" x14ac:dyDescent="0.25">
      <c r="A46" t="s">
        <v>222</v>
      </c>
      <c r="B46" s="17">
        <f>SUM(B44:B45)</f>
        <v>0</v>
      </c>
      <c r="C46" s="17">
        <f t="shared" ref="C46:H46" si="22">SUM(C44:C45)</f>
        <v>0</v>
      </c>
      <c r="D46" s="17">
        <f t="shared" si="22"/>
        <v>0</v>
      </c>
      <c r="E46" s="17">
        <f t="shared" si="22"/>
        <v>0</v>
      </c>
      <c r="F46" s="17">
        <f t="shared" si="22"/>
        <v>0</v>
      </c>
      <c r="G46" s="17">
        <f t="shared" si="22"/>
        <v>0</v>
      </c>
      <c r="H46" s="17">
        <f t="shared" si="22"/>
        <v>0</v>
      </c>
      <c r="I46" s="17">
        <f t="shared" ref="I46" si="23">SUM(I44:I45)</f>
        <v>0</v>
      </c>
      <c r="J46" s="17">
        <f t="shared" ref="J46" si="24">SUM(J44:J45)</f>
        <v>0</v>
      </c>
      <c r="K46" s="17">
        <f t="shared" ref="K46" si="25">SUM(K44:K45)</f>
        <v>0</v>
      </c>
      <c r="L46" s="17">
        <f t="shared" ref="L46" si="26">SUM(L44:L45)</f>
        <v>0</v>
      </c>
      <c r="M46" s="17">
        <f t="shared" ref="M46" si="27">SUM(M44:M45)</f>
        <v>0</v>
      </c>
      <c r="N46" s="17">
        <f t="shared" ref="N46" si="28">SUM(N44:N45)</f>
        <v>0</v>
      </c>
      <c r="O46" s="17">
        <f t="shared" ref="O46" si="29">SUM(O44:O45)</f>
        <v>0</v>
      </c>
      <c r="P46" s="17">
        <f t="shared" ref="P46" si="30">SUM(P44:P45)</f>
        <v>0</v>
      </c>
      <c r="Q46" s="17">
        <f t="shared" ref="Q46" si="31">SUM(Q44:Q45)</f>
        <v>0</v>
      </c>
      <c r="R46" s="17">
        <f t="shared" ref="R46" si="32">SUM(R44:R45)</f>
        <v>0</v>
      </c>
      <c r="S46" s="17">
        <f t="shared" ref="S46" si="33">SUM(S44:S45)</f>
        <v>0</v>
      </c>
      <c r="T46" s="17">
        <f t="shared" ref="T46" si="34">SUM(T44:T45)</f>
        <v>0</v>
      </c>
      <c r="U46" s="17">
        <f t="shared" ref="U46" si="35">SUM(U44:U45)</f>
        <v>0</v>
      </c>
    </row>
  </sheetData>
  <mergeCells count="2">
    <mergeCell ref="C1:F1"/>
    <mergeCell ref="A5:I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zoomScaleNormal="100" workbookViewId="0">
      <selection sqref="A1:B1"/>
    </sheetView>
  </sheetViews>
  <sheetFormatPr defaultRowHeight="13.2" x14ac:dyDescent="0.25"/>
  <cols>
    <col min="1" max="1" width="39" style="60" bestFit="1" customWidth="1"/>
    <col min="2" max="2" width="11.6640625" style="60" customWidth="1"/>
    <col min="3" max="3" width="13.109375" style="60" bestFit="1" customWidth="1"/>
    <col min="4" max="5" width="12.44140625" style="60" bestFit="1" customWidth="1"/>
    <col min="6" max="7" width="8.5546875" bestFit="1" customWidth="1"/>
    <col min="8" max="9" width="8.5546875" style="60" bestFit="1" customWidth="1"/>
    <col min="10" max="10" width="11.33203125" style="60" hidden="1" customWidth="1"/>
    <col min="11" max="12" width="12.44140625" style="60" bestFit="1" customWidth="1"/>
    <col min="13" max="13" width="11.33203125" style="60" bestFit="1" customWidth="1"/>
    <col min="14" max="15" width="9.109375" style="60"/>
    <col min="16" max="16" width="13.6640625" style="60" bestFit="1" customWidth="1"/>
    <col min="17" max="19" width="9.109375" style="60" hidden="1" customWidth="1"/>
    <col min="20" max="20" width="9.109375" style="60"/>
  </cols>
  <sheetData>
    <row r="1" spans="1:20" ht="13.8" thickBot="1" x14ac:dyDescent="0.3">
      <c r="A1" s="188" t="s">
        <v>204</v>
      </c>
      <c r="B1" s="189"/>
      <c r="C1" s="141"/>
    </row>
    <row r="2" spans="1:20" ht="13.8" thickBot="1" x14ac:dyDescent="0.3">
      <c r="A2" s="140"/>
      <c r="B2" s="143" t="s">
        <v>235</v>
      </c>
      <c r="E2"/>
      <c r="G2" s="60"/>
      <c r="T2"/>
    </row>
    <row r="3" spans="1:20" ht="13.8" thickBot="1" x14ac:dyDescent="0.3">
      <c r="A3" s="142" t="s">
        <v>255</v>
      </c>
      <c r="B3" s="155">
        <v>0</v>
      </c>
      <c r="C3" s="85"/>
      <c r="D3" s="83"/>
      <c r="E3"/>
      <c r="G3" s="60"/>
      <c r="T3"/>
    </row>
    <row r="4" spans="1:20" x14ac:dyDescent="0.25">
      <c r="A4" s="84" t="s">
        <v>240</v>
      </c>
      <c r="B4" s="156">
        <v>0.1</v>
      </c>
      <c r="C4" s="84"/>
      <c r="D4" s="85"/>
      <c r="E4" s="83"/>
    </row>
    <row r="5" spans="1:20" x14ac:dyDescent="0.25">
      <c r="A5" s="84" t="s">
        <v>254</v>
      </c>
      <c r="B5" s="146"/>
      <c r="C5" s="84"/>
      <c r="D5" s="85"/>
      <c r="E5" s="83"/>
    </row>
    <row r="6" spans="1:20" ht="13.8" thickBot="1" x14ac:dyDescent="0.3">
      <c r="A6" s="84"/>
      <c r="B6" s="146"/>
      <c r="C6" s="84"/>
      <c r="D6" s="85"/>
      <c r="E6" s="83"/>
    </row>
    <row r="7" spans="1:20" x14ac:dyDescent="0.25">
      <c r="A7" s="194" t="s">
        <v>146</v>
      </c>
      <c r="B7" s="195"/>
      <c r="E7" s="83"/>
    </row>
    <row r="8" spans="1:20" ht="13.8" thickBot="1" x14ac:dyDescent="0.3">
      <c r="A8" s="157">
        <v>9.171E-2</v>
      </c>
      <c r="B8" s="86" t="s">
        <v>124</v>
      </c>
    </row>
    <row r="10" spans="1:20" x14ac:dyDescent="0.25">
      <c r="A10" s="196" t="s">
        <v>256</v>
      </c>
      <c r="B10" s="196"/>
      <c r="C10" s="196"/>
    </row>
    <row r="11" spans="1:20" x14ac:dyDescent="0.25">
      <c r="A11" s="147" t="s">
        <v>257</v>
      </c>
      <c r="B11" s="154">
        <v>12</v>
      </c>
      <c r="C11" s="147" t="s">
        <v>113</v>
      </c>
    </row>
    <row r="12" spans="1:20" ht="13.8" thickBot="1" x14ac:dyDescent="0.3">
      <c r="A12" s="147" t="s">
        <v>258</v>
      </c>
      <c r="B12" s="154">
        <v>8</v>
      </c>
      <c r="C12" s="147" t="s">
        <v>113</v>
      </c>
    </row>
    <row r="13" spans="1:20" x14ac:dyDescent="0.25">
      <c r="A13" s="109" t="s">
        <v>150</v>
      </c>
      <c r="B13" s="124">
        <f>IF(B48="yes",B11,B12)</f>
        <v>12</v>
      </c>
      <c r="C13" s="125" t="s">
        <v>113</v>
      </c>
    </row>
    <row r="14" spans="1:20" x14ac:dyDescent="0.25">
      <c r="A14" s="153" t="s">
        <v>251</v>
      </c>
      <c r="B14" s="158">
        <v>0.02</v>
      </c>
      <c r="C14" s="152"/>
    </row>
    <row r="15" spans="1:20" ht="13.8" thickBot="1" x14ac:dyDescent="0.3">
      <c r="A15" s="102" t="s">
        <v>114</v>
      </c>
      <c r="B15" s="159">
        <v>43</v>
      </c>
      <c r="C15" s="126" t="s">
        <v>115</v>
      </c>
    </row>
    <row r="16" spans="1:20" x14ac:dyDescent="0.25">
      <c r="A16" s="127" t="s">
        <v>117</v>
      </c>
      <c r="B16" s="131" t="s">
        <v>80</v>
      </c>
      <c r="C16" s="131" t="s">
        <v>81</v>
      </c>
      <c r="D16" s="131" t="s">
        <v>82</v>
      </c>
      <c r="E16" s="132" t="s">
        <v>205</v>
      </c>
    </row>
    <row r="17" spans="1:7" x14ac:dyDescent="0.25">
      <c r="A17" s="61" t="s">
        <v>112</v>
      </c>
      <c r="B17" s="160">
        <v>750</v>
      </c>
      <c r="C17" s="160">
        <v>800</v>
      </c>
      <c r="D17" s="160">
        <v>900</v>
      </c>
      <c r="E17" s="161">
        <v>1000</v>
      </c>
    </row>
    <row r="18" spans="1:7" x14ac:dyDescent="0.25">
      <c r="A18" s="99" t="s">
        <v>242</v>
      </c>
      <c r="B18" s="87"/>
      <c r="C18" s="87">
        <f>C17-B17</f>
        <v>50</v>
      </c>
      <c r="D18" s="87">
        <f t="shared" ref="D18:E18" si="0">D17-C17</f>
        <v>100</v>
      </c>
      <c r="E18" s="87">
        <f t="shared" si="0"/>
        <v>100</v>
      </c>
    </row>
    <row r="19" spans="1:7" ht="13.8" thickBot="1" x14ac:dyDescent="0.3">
      <c r="A19" s="70" t="s">
        <v>246</v>
      </c>
      <c r="B19" s="81">
        <f>+$B$13*B17</f>
        <v>9000</v>
      </c>
      <c r="C19" s="81">
        <f>+$B$13*C17</f>
        <v>9600</v>
      </c>
      <c r="D19" s="81">
        <f>+$B$13*D17</f>
        <v>10800</v>
      </c>
      <c r="E19" s="82">
        <f>+$B$13*E17</f>
        <v>12000</v>
      </c>
      <c r="F19" s="35"/>
      <c r="G19" s="35"/>
    </row>
    <row r="20" spans="1:7" ht="13.8" thickBot="1" x14ac:dyDescent="0.3">
      <c r="A20" s="73"/>
      <c r="B20" s="73"/>
      <c r="C20" s="73"/>
      <c r="D20" s="73"/>
      <c r="E20" s="73"/>
      <c r="F20" s="47"/>
      <c r="G20" s="47"/>
    </row>
    <row r="21" spans="1:7" x14ac:dyDescent="0.25">
      <c r="A21" s="191" t="s">
        <v>118</v>
      </c>
      <c r="B21" s="184"/>
      <c r="C21" s="184"/>
      <c r="D21" s="184"/>
      <c r="E21" s="185"/>
      <c r="F21" s="47"/>
      <c r="G21" s="47"/>
    </row>
    <row r="22" spans="1:7" x14ac:dyDescent="0.25">
      <c r="A22" s="61" t="s">
        <v>111</v>
      </c>
      <c r="B22" s="162">
        <v>1</v>
      </c>
      <c r="C22" s="162">
        <v>1</v>
      </c>
      <c r="D22" s="162">
        <v>1</v>
      </c>
      <c r="E22" s="163">
        <v>1</v>
      </c>
      <c r="F22" s="47"/>
      <c r="G22" s="47"/>
    </row>
    <row r="23" spans="1:7" ht="12.75" customHeight="1" thickBot="1" x14ac:dyDescent="0.3">
      <c r="A23" s="77"/>
      <c r="B23" s="128"/>
      <c r="C23" s="128"/>
      <c r="D23" s="128"/>
      <c r="E23" s="129"/>
      <c r="F23" s="48"/>
      <c r="G23" s="48"/>
    </row>
    <row r="24" spans="1:7" ht="13.8" thickBot="1" x14ac:dyDescent="0.3">
      <c r="A24" s="73"/>
      <c r="B24" s="73"/>
      <c r="C24" s="73"/>
      <c r="D24" s="73"/>
      <c r="E24" s="73"/>
      <c r="F24" s="47"/>
      <c r="G24" s="47"/>
    </row>
    <row r="25" spans="1:7" x14ac:dyDescent="0.25">
      <c r="A25" s="190" t="s">
        <v>116</v>
      </c>
      <c r="B25" s="184"/>
      <c r="C25" s="184"/>
      <c r="D25" s="184"/>
      <c r="E25" s="185"/>
      <c r="F25" s="49"/>
      <c r="G25" s="49"/>
    </row>
    <row r="26" spans="1:7" x14ac:dyDescent="0.25">
      <c r="A26" s="88" t="s">
        <v>117</v>
      </c>
      <c r="B26" s="92" t="s">
        <v>80</v>
      </c>
      <c r="C26" s="92" t="s">
        <v>81</v>
      </c>
      <c r="D26" s="92" t="s">
        <v>82</v>
      </c>
      <c r="E26" s="93" t="s">
        <v>205</v>
      </c>
      <c r="F26" s="49"/>
      <c r="G26" s="49"/>
    </row>
    <row r="27" spans="1:7" x14ac:dyDescent="0.25">
      <c r="A27" s="61" t="s">
        <v>111</v>
      </c>
      <c r="B27" s="67">
        <f>+B$19*B22/$B$15</f>
        <v>209.30232558139534</v>
      </c>
      <c r="C27" s="67">
        <f>+C$19*C22/$B$15</f>
        <v>223.25581395348837</v>
      </c>
      <c r="D27" s="67">
        <f>+D$19*D22/$B$15</f>
        <v>251.16279069767441</v>
      </c>
      <c r="E27" s="80">
        <f>+E$19*E22/$B$15</f>
        <v>279.06976744186045</v>
      </c>
      <c r="F27" s="35"/>
      <c r="G27" s="35"/>
    </row>
    <row r="28" spans="1:7" ht="13.8" thickBot="1" x14ac:dyDescent="0.3">
      <c r="A28" s="65"/>
      <c r="B28" s="73"/>
      <c r="C28" s="73"/>
      <c r="D28" s="73"/>
      <c r="E28" s="73"/>
      <c r="F28" s="49"/>
      <c r="G28" s="49"/>
    </row>
    <row r="29" spans="1:7" x14ac:dyDescent="0.25">
      <c r="A29" s="190" t="s">
        <v>151</v>
      </c>
      <c r="B29" s="184"/>
      <c r="C29" s="184"/>
      <c r="D29" s="184"/>
      <c r="E29" s="185"/>
      <c r="F29" s="49"/>
      <c r="G29" s="49"/>
    </row>
    <row r="30" spans="1:7" x14ac:dyDescent="0.25">
      <c r="A30" s="61"/>
      <c r="B30" s="63" t="s">
        <v>206</v>
      </c>
      <c r="C30" s="63" t="s">
        <v>207</v>
      </c>
      <c r="D30" s="63" t="s">
        <v>208</v>
      </c>
      <c r="E30" s="64" t="s">
        <v>209</v>
      </c>
    </row>
    <row r="31" spans="1:7" x14ac:dyDescent="0.25">
      <c r="A31" s="62" t="s">
        <v>229</v>
      </c>
      <c r="B31" s="160">
        <v>21</v>
      </c>
      <c r="C31" s="160">
        <v>75</v>
      </c>
      <c r="D31" s="160">
        <v>20</v>
      </c>
      <c r="E31" s="64"/>
    </row>
    <row r="32" spans="1:7" x14ac:dyDescent="0.25">
      <c r="A32" s="61" t="s">
        <v>137</v>
      </c>
      <c r="B32" s="160">
        <v>2</v>
      </c>
      <c r="C32" s="160">
        <v>1</v>
      </c>
      <c r="D32" s="160">
        <v>1</v>
      </c>
      <c r="E32" s="64"/>
    </row>
    <row r="33" spans="1:7" x14ac:dyDescent="0.25">
      <c r="A33" s="61" t="s">
        <v>138</v>
      </c>
      <c r="B33" s="160">
        <v>12</v>
      </c>
      <c r="C33" s="160">
        <v>15</v>
      </c>
      <c r="D33" s="160">
        <v>10</v>
      </c>
      <c r="E33" s="64"/>
    </row>
    <row r="34" spans="1:7" x14ac:dyDescent="0.25">
      <c r="A34" s="61" t="s">
        <v>140</v>
      </c>
      <c r="B34" s="67">
        <f>+B31*2*B32*B33</f>
        <v>1008</v>
      </c>
      <c r="C34" s="67">
        <f>+C31*2*C32*C33</f>
        <v>2250</v>
      </c>
      <c r="D34" s="67">
        <f>+D31*2*D32*D33</f>
        <v>400</v>
      </c>
      <c r="E34" s="64">
        <f>+E31*2*E32*E33</f>
        <v>0</v>
      </c>
    </row>
    <row r="35" spans="1:7" x14ac:dyDescent="0.25">
      <c r="A35" s="61" t="s">
        <v>139</v>
      </c>
      <c r="B35" s="164">
        <v>0.625</v>
      </c>
      <c r="C35" s="63"/>
      <c r="D35" s="63"/>
      <c r="E35" s="64"/>
    </row>
    <row r="36" spans="1:7" x14ac:dyDescent="0.25">
      <c r="A36" s="61" t="s">
        <v>152</v>
      </c>
      <c r="B36" s="67">
        <f>+SUM(B34:E34)</f>
        <v>3658</v>
      </c>
      <c r="C36" s="63"/>
      <c r="D36" s="63"/>
      <c r="E36" s="64"/>
    </row>
    <row r="37" spans="1:7" ht="13.8" thickBot="1" x14ac:dyDescent="0.3">
      <c r="A37" s="77" t="s">
        <v>141</v>
      </c>
      <c r="B37" s="46">
        <f>+B36*B35</f>
        <v>2286.25</v>
      </c>
      <c r="C37" s="71"/>
      <c r="D37" s="71"/>
      <c r="E37" s="72"/>
    </row>
    <row r="38" spans="1:7" ht="13.8" thickBot="1" x14ac:dyDescent="0.3">
      <c r="A38" s="73"/>
      <c r="B38" s="103"/>
      <c r="C38" s="73"/>
      <c r="D38" s="73"/>
      <c r="E38" s="73"/>
    </row>
    <row r="39" spans="1:7" x14ac:dyDescent="0.25">
      <c r="A39" s="201" t="s">
        <v>136</v>
      </c>
      <c r="B39" s="202"/>
      <c r="C39" s="202"/>
      <c r="D39" s="202"/>
      <c r="E39" s="203"/>
    </row>
    <row r="40" spans="1:7" customFormat="1" x14ac:dyDescent="0.25">
      <c r="A40" s="61" t="s">
        <v>117</v>
      </c>
      <c r="B40" s="92" t="s">
        <v>80</v>
      </c>
      <c r="C40" s="92" t="s">
        <v>81</v>
      </c>
      <c r="D40" s="92" t="s">
        <v>82</v>
      </c>
      <c r="E40" s="93" t="s">
        <v>205</v>
      </c>
    </row>
    <row r="41" spans="1:7" ht="12.75" customHeight="1" x14ac:dyDescent="0.25">
      <c r="A41" s="61" t="s">
        <v>143</v>
      </c>
      <c r="B41" s="164">
        <v>100</v>
      </c>
      <c r="C41" s="164">
        <v>150</v>
      </c>
      <c r="D41" s="164">
        <v>200</v>
      </c>
      <c r="E41" s="165">
        <v>200</v>
      </c>
    </row>
    <row r="42" spans="1:7" ht="13.8" thickBot="1" x14ac:dyDescent="0.3">
      <c r="A42" s="61" t="s">
        <v>142</v>
      </c>
      <c r="B42" s="166">
        <v>800</v>
      </c>
      <c r="C42" s="166">
        <v>1000</v>
      </c>
      <c r="D42" s="166">
        <v>1000</v>
      </c>
      <c r="E42" s="167">
        <v>1000</v>
      </c>
    </row>
    <row r="43" spans="1:7" x14ac:dyDescent="0.25">
      <c r="A43" s="65"/>
      <c r="B43" s="73"/>
      <c r="C43" s="73"/>
      <c r="D43" s="73"/>
      <c r="E43" s="121"/>
    </row>
    <row r="44" spans="1:7" x14ac:dyDescent="0.25">
      <c r="A44" s="61" t="s">
        <v>144</v>
      </c>
      <c r="B44" s="45">
        <f>+SUM(B42,B41)</f>
        <v>900</v>
      </c>
      <c r="C44" s="45">
        <f>+SUM(C42,C41)</f>
        <v>1150</v>
      </c>
      <c r="D44" s="45">
        <f>+SUM(D42,D41)</f>
        <v>1200</v>
      </c>
      <c r="E44" s="58">
        <f>+SUM(E42,E41)</f>
        <v>1200</v>
      </c>
    </row>
    <row r="45" spans="1:7" x14ac:dyDescent="0.25">
      <c r="A45" s="89" t="s">
        <v>145</v>
      </c>
      <c r="B45" s="46">
        <f>+B44/(B109+B110)</f>
        <v>0.27812113720642767</v>
      </c>
      <c r="C45" s="46">
        <f>+C44/(C109+C110)</f>
        <v>0.3389330975537872</v>
      </c>
      <c r="D45" s="46">
        <f>+D44/(D109+D110)</f>
        <v>0.31446540880503143</v>
      </c>
      <c r="E45" s="59">
        <f>+E44/(E109+E110)</f>
        <v>0.28295213393067675</v>
      </c>
    </row>
    <row r="46" spans="1:7" ht="13.8" thickBot="1" x14ac:dyDescent="0.3"/>
    <row r="47" spans="1:7" x14ac:dyDescent="0.25">
      <c r="A47" s="191" t="s">
        <v>121</v>
      </c>
      <c r="B47" s="192"/>
      <c r="C47" s="192"/>
      <c r="D47" s="192"/>
      <c r="E47" s="193"/>
      <c r="F47" s="60"/>
      <c r="G47" s="60"/>
    </row>
    <row r="48" spans="1:7" x14ac:dyDescent="0.25">
      <c r="A48" s="62" t="s">
        <v>122</v>
      </c>
      <c r="B48" s="168" t="s">
        <v>247</v>
      </c>
      <c r="C48" s="148"/>
      <c r="D48" s="148"/>
      <c r="E48" s="149"/>
      <c r="F48" s="60"/>
      <c r="G48" s="60"/>
    </row>
    <row r="49" spans="1:20" x14ac:dyDescent="0.25">
      <c r="A49" s="62" t="s">
        <v>249</v>
      </c>
      <c r="B49" s="168" t="s">
        <v>247</v>
      </c>
      <c r="C49" s="148"/>
      <c r="D49" s="148"/>
      <c r="E49" s="149"/>
      <c r="F49" s="60"/>
      <c r="G49" s="60"/>
    </row>
    <row r="50" spans="1:20" x14ac:dyDescent="0.25">
      <c r="A50" s="61"/>
      <c r="B50" s="96" t="s">
        <v>80</v>
      </c>
      <c r="C50" s="96" t="s">
        <v>81</v>
      </c>
      <c r="D50" s="96" t="s">
        <v>82</v>
      </c>
      <c r="E50" s="97" t="s">
        <v>205</v>
      </c>
      <c r="F50" s="60"/>
      <c r="G50" s="60"/>
      <c r="J50" s="147" t="s">
        <v>247</v>
      </c>
    </row>
    <row r="51" spans="1:20" hidden="1" x14ac:dyDescent="0.25">
      <c r="A51" s="62"/>
      <c r="B51" s="63"/>
      <c r="C51" s="63"/>
      <c r="D51" s="63"/>
      <c r="E51" s="64"/>
      <c r="F51" s="60"/>
      <c r="G51" s="60"/>
      <c r="J51" s="147" t="s">
        <v>248</v>
      </c>
    </row>
    <row r="52" spans="1:20" hidden="1" x14ac:dyDescent="0.25">
      <c r="A52" s="99"/>
      <c r="B52" s="87"/>
      <c r="C52" s="87"/>
      <c r="D52" s="87"/>
      <c r="E52" s="101"/>
      <c r="F52" s="60"/>
      <c r="G52" s="60"/>
    </row>
    <row r="53" spans="1:20" ht="13.8" thickBot="1" x14ac:dyDescent="0.3">
      <c r="A53" s="99" t="s">
        <v>161</v>
      </c>
      <c r="B53" s="87">
        <f>+B17</f>
        <v>750</v>
      </c>
      <c r="C53" s="87">
        <f>+C17</f>
        <v>800</v>
      </c>
      <c r="D53" s="87">
        <f>+D17</f>
        <v>900</v>
      </c>
      <c r="E53" s="101">
        <f>+E17</f>
        <v>1000</v>
      </c>
      <c r="F53" s="65"/>
      <c r="G53" s="60"/>
    </row>
    <row r="54" spans="1:20" ht="12.75" customHeight="1" x14ac:dyDescent="0.25">
      <c r="A54" s="198" t="s">
        <v>147</v>
      </c>
      <c r="B54" s="199"/>
      <c r="C54" s="199"/>
      <c r="D54" s="199"/>
      <c r="E54" s="200"/>
      <c r="F54" s="60"/>
      <c r="G54" s="60"/>
    </row>
    <row r="55" spans="1:20" x14ac:dyDescent="0.25">
      <c r="A55" s="98" t="s">
        <v>162</v>
      </c>
      <c r="B55" s="169">
        <v>10</v>
      </c>
      <c r="C55" s="169">
        <v>10</v>
      </c>
      <c r="D55" s="169">
        <v>10</v>
      </c>
      <c r="E55" s="170">
        <v>10</v>
      </c>
      <c r="F55" s="60"/>
      <c r="G55" s="60"/>
    </row>
    <row r="56" spans="1:20" x14ac:dyDescent="0.25">
      <c r="A56" s="62" t="s">
        <v>163</v>
      </c>
      <c r="B56" s="160">
        <v>2</v>
      </c>
      <c r="C56" s="160">
        <f>IF((C53-B53)&gt;0,1,0)</f>
        <v>1</v>
      </c>
      <c r="D56" s="160">
        <f>IF((D53-C53)&gt;0,1,0)</f>
        <v>1</v>
      </c>
      <c r="E56" s="161">
        <f>IF((E53-D53)&gt;0,1,0)</f>
        <v>1</v>
      </c>
      <c r="F56" s="60"/>
      <c r="G56" s="60"/>
    </row>
    <row r="57" spans="1:20" x14ac:dyDescent="0.25">
      <c r="A57" s="62" t="s">
        <v>164</v>
      </c>
      <c r="B57" s="160">
        <v>1</v>
      </c>
      <c r="C57" s="160">
        <v>1</v>
      </c>
      <c r="D57" s="160">
        <v>1</v>
      </c>
      <c r="E57" s="161">
        <v>1</v>
      </c>
      <c r="F57" s="60"/>
      <c r="G57" s="60"/>
    </row>
    <row r="58" spans="1:20" x14ac:dyDescent="0.25">
      <c r="A58" s="62" t="s">
        <v>165</v>
      </c>
      <c r="B58" s="160">
        <v>1</v>
      </c>
      <c r="C58" s="160">
        <v>1</v>
      </c>
      <c r="D58" s="160">
        <v>1</v>
      </c>
      <c r="E58" s="161">
        <v>1</v>
      </c>
      <c r="F58" s="60"/>
      <c r="G58" s="60"/>
    </row>
    <row r="59" spans="1:20" x14ac:dyDescent="0.25">
      <c r="A59" s="62" t="s">
        <v>166</v>
      </c>
      <c r="B59" s="160">
        <v>1</v>
      </c>
      <c r="C59" s="160">
        <v>1</v>
      </c>
      <c r="D59" s="160">
        <v>1</v>
      </c>
      <c r="E59" s="161">
        <v>1</v>
      </c>
      <c r="F59" s="60"/>
      <c r="G59" s="60"/>
    </row>
    <row r="60" spans="1:20" x14ac:dyDescent="0.25">
      <c r="A60" s="62" t="s">
        <v>167</v>
      </c>
      <c r="B60" s="63">
        <f>+B56*B57*B58*B59</f>
        <v>2</v>
      </c>
      <c r="C60" s="63">
        <f>+C56*C57*C58*C59</f>
        <v>1</v>
      </c>
      <c r="D60" s="63">
        <f>+D56*D57*D58*D59</f>
        <v>1</v>
      </c>
      <c r="E60" s="64">
        <f>+E56*E57*E58*E59</f>
        <v>1</v>
      </c>
      <c r="F60" s="60"/>
      <c r="G60" s="60"/>
    </row>
    <row r="61" spans="1:20" x14ac:dyDescent="0.25">
      <c r="A61" s="62" t="s">
        <v>123</v>
      </c>
      <c r="B61" s="90">
        <f>+B60/B53</f>
        <v>2.6666666666666666E-3</v>
      </c>
      <c r="C61" s="90">
        <f>IF(C60&gt;0,C60/(C53-B53),0)</f>
        <v>0.02</v>
      </c>
      <c r="D61" s="90">
        <f>IF(D60&gt;0,D60/(D53-C53),0)</f>
        <v>0.01</v>
      </c>
      <c r="E61" s="91">
        <f>IF(E60&gt;0,E60/(E53-D53),0)</f>
        <v>0.01</v>
      </c>
      <c r="F61" s="60"/>
      <c r="G61" s="60"/>
    </row>
    <row r="62" spans="1:20" ht="13.8" thickBot="1" x14ac:dyDescent="0.3">
      <c r="A62" s="100" t="s">
        <v>168</v>
      </c>
      <c r="B62" s="94">
        <f>+B61/B55*$B$3*B53</f>
        <v>0</v>
      </c>
      <c r="C62" s="94">
        <f>(C61/C55*$B$3*(C53-B53))+$B$62</f>
        <v>0</v>
      </c>
      <c r="D62" s="94">
        <f>(D61/D55*$B$3*(D53-C53))+C62</f>
        <v>0</v>
      </c>
      <c r="E62" s="95">
        <f>(E61/E55*$B$3*(E53-D53))+D62</f>
        <v>0</v>
      </c>
      <c r="F62" s="60"/>
      <c r="G62" s="60"/>
      <c r="R62"/>
      <c r="S62"/>
      <c r="T62"/>
    </row>
    <row r="63" spans="1:20" ht="13.8" thickBot="1" x14ac:dyDescent="0.3">
      <c r="A63" s="172"/>
      <c r="B63" s="173"/>
      <c r="C63" s="173"/>
      <c r="D63" s="173"/>
      <c r="E63" s="173"/>
      <c r="F63" s="60"/>
      <c r="G63" s="60"/>
      <c r="R63"/>
      <c r="S63"/>
      <c r="T63"/>
    </row>
    <row r="64" spans="1:20" x14ac:dyDescent="0.25">
      <c r="A64" s="204" t="s">
        <v>148</v>
      </c>
      <c r="B64" s="205"/>
      <c r="C64" s="205"/>
      <c r="D64" s="205"/>
      <c r="E64" s="206"/>
      <c r="F64" s="60"/>
      <c r="G64" s="60"/>
      <c r="R64"/>
      <c r="S64"/>
      <c r="T64"/>
    </row>
    <row r="65" spans="1:20" x14ac:dyDescent="0.25">
      <c r="A65" s="62" t="s">
        <v>155</v>
      </c>
      <c r="B65" s="68">
        <f>IF($B$48="yes",12,0)</f>
        <v>12</v>
      </c>
      <c r="C65" s="68">
        <f t="shared" ref="C65:E65" si="1">IF($B$48="yes",12,0)</f>
        <v>12</v>
      </c>
      <c r="D65" s="68">
        <f t="shared" si="1"/>
        <v>12</v>
      </c>
      <c r="E65" s="69">
        <f t="shared" si="1"/>
        <v>12</v>
      </c>
      <c r="F65" s="60"/>
      <c r="G65" s="60"/>
      <c r="R65"/>
      <c r="S65"/>
      <c r="T65"/>
    </row>
    <row r="66" spans="1:20" x14ac:dyDescent="0.25">
      <c r="A66" s="62" t="s">
        <v>156</v>
      </c>
      <c r="B66" s="160">
        <v>7</v>
      </c>
      <c r="C66" s="160">
        <v>7</v>
      </c>
      <c r="D66" s="160">
        <v>7</v>
      </c>
      <c r="E66" s="161">
        <v>7</v>
      </c>
      <c r="F66" s="60"/>
      <c r="G66" s="60"/>
      <c r="R66"/>
      <c r="S66"/>
      <c r="T66"/>
    </row>
    <row r="67" spans="1:20" x14ac:dyDescent="0.25">
      <c r="A67" s="62" t="s">
        <v>157</v>
      </c>
      <c r="B67" s="160">
        <v>6</v>
      </c>
      <c r="C67" s="160">
        <v>6</v>
      </c>
      <c r="D67" s="160">
        <v>6</v>
      </c>
      <c r="E67" s="161">
        <v>6</v>
      </c>
      <c r="F67" s="60"/>
      <c r="G67" s="60"/>
      <c r="R67"/>
      <c r="S67"/>
      <c r="T67"/>
    </row>
    <row r="68" spans="1:20" x14ac:dyDescent="0.25">
      <c r="A68" s="62" t="s">
        <v>158</v>
      </c>
      <c r="B68" s="63">
        <f>+B65*B66*B67</f>
        <v>504</v>
      </c>
      <c r="C68" s="63">
        <f>+C65*C66*C67</f>
        <v>504</v>
      </c>
      <c r="D68" s="63">
        <f>+D65*D66*D67</f>
        <v>504</v>
      </c>
      <c r="E68" s="64">
        <f>+E65*E66*E67</f>
        <v>504</v>
      </c>
      <c r="F68" s="60"/>
      <c r="G68" s="60"/>
    </row>
    <row r="69" spans="1:20" x14ac:dyDescent="0.25">
      <c r="A69" s="62" t="s">
        <v>159</v>
      </c>
      <c r="B69" s="180">
        <v>0.1</v>
      </c>
      <c r="C69" s="180">
        <v>0.1</v>
      </c>
      <c r="D69" s="180">
        <v>0.1</v>
      </c>
      <c r="E69" s="181">
        <v>0.1</v>
      </c>
      <c r="F69" s="60"/>
      <c r="G69" s="60"/>
    </row>
    <row r="70" spans="1:20" x14ac:dyDescent="0.25">
      <c r="A70" s="62" t="s">
        <v>160</v>
      </c>
      <c r="B70" s="9">
        <f>+B69*B68*$B$3</f>
        <v>0</v>
      </c>
      <c r="C70" s="9">
        <f t="shared" ref="C70:E70" si="2">+C69*C68*$B$3</f>
        <v>0</v>
      </c>
      <c r="D70" s="9">
        <f t="shared" si="2"/>
        <v>0</v>
      </c>
      <c r="E70" s="57">
        <f t="shared" si="2"/>
        <v>0</v>
      </c>
      <c r="F70" s="60"/>
      <c r="G70" s="60"/>
    </row>
    <row r="71" spans="1:20" x14ac:dyDescent="0.25">
      <c r="A71" s="62" t="s">
        <v>154</v>
      </c>
      <c r="B71" s="160">
        <v>2</v>
      </c>
      <c r="C71" s="160">
        <v>3</v>
      </c>
      <c r="D71" s="160">
        <v>3</v>
      </c>
      <c r="E71" s="161">
        <v>3</v>
      </c>
      <c r="F71" s="60"/>
      <c r="G71" s="60"/>
    </row>
    <row r="72" spans="1:20" x14ac:dyDescent="0.25">
      <c r="A72" s="62" t="s">
        <v>153</v>
      </c>
      <c r="B72" s="160">
        <v>0.75</v>
      </c>
      <c r="C72" s="160">
        <v>0.75</v>
      </c>
      <c r="D72" s="160">
        <v>0.75</v>
      </c>
      <c r="E72" s="161">
        <v>0.75</v>
      </c>
      <c r="F72" s="60"/>
      <c r="G72" s="60"/>
    </row>
    <row r="73" spans="1:20" ht="13.8" thickBot="1" x14ac:dyDescent="0.3">
      <c r="A73" s="70" t="s">
        <v>125</v>
      </c>
      <c r="B73" s="94">
        <f>+B72*0.7457*B68*B71*$A$8</f>
        <v>51.701439131999997</v>
      </c>
      <c r="C73" s="94">
        <f>+C72*0.7457*C68*C71*$A$8</f>
        <v>77.552158698</v>
      </c>
      <c r="D73" s="94">
        <f>+D72*0.7457*D68*D71*$A$8</f>
        <v>77.552158698</v>
      </c>
      <c r="E73" s="95">
        <f>+E72*0.7457*E68*E71*$A$8</f>
        <v>77.552158698</v>
      </c>
      <c r="F73" s="60"/>
      <c r="G73" s="60"/>
    </row>
    <row r="74" spans="1:20" ht="13.8" thickBot="1" x14ac:dyDescent="0.3">
      <c r="A74" s="104"/>
      <c r="B74" s="105"/>
      <c r="C74" s="105"/>
      <c r="D74" s="105"/>
      <c r="E74" s="105"/>
      <c r="F74" s="73"/>
      <c r="G74" s="60"/>
    </row>
    <row r="75" spans="1:20" ht="13.8" thickBot="1" x14ac:dyDescent="0.3">
      <c r="A75" s="207" t="s">
        <v>126</v>
      </c>
      <c r="B75" s="208"/>
      <c r="C75" s="208"/>
      <c r="D75" s="208"/>
      <c r="E75" s="209"/>
      <c r="F75" s="60"/>
      <c r="G75" s="60"/>
    </row>
    <row r="76" spans="1:20" x14ac:dyDescent="0.25">
      <c r="A76" s="198" t="s">
        <v>128</v>
      </c>
      <c r="B76" s="199"/>
      <c r="C76" s="199"/>
      <c r="D76" s="199"/>
      <c r="E76" s="200"/>
      <c r="F76" s="60"/>
      <c r="G76" s="60"/>
    </row>
    <row r="77" spans="1:20" x14ac:dyDescent="0.25">
      <c r="A77" s="62" t="s">
        <v>169</v>
      </c>
      <c r="B77" s="160">
        <v>200</v>
      </c>
      <c r="C77" s="160">
        <v>200</v>
      </c>
      <c r="D77" s="160">
        <v>200</v>
      </c>
      <c r="E77" s="160">
        <v>200</v>
      </c>
      <c r="F77" s="60"/>
      <c r="G77" s="60"/>
    </row>
    <row r="78" spans="1:20" x14ac:dyDescent="0.25">
      <c r="A78" s="62" t="s">
        <v>170</v>
      </c>
      <c r="B78" s="68">
        <f>IF($B$49="Yes",B19/B77,0)</f>
        <v>45</v>
      </c>
      <c r="C78" s="68">
        <f>IF($B$49="Yes",C19/C77,0)</f>
        <v>48</v>
      </c>
      <c r="D78" s="68">
        <f>IF($B$49="Yes",D19/D77,0)</f>
        <v>54</v>
      </c>
      <c r="E78" s="69">
        <f>IF($B$49="Yes",E19/E77,0)</f>
        <v>60</v>
      </c>
      <c r="F78" s="60"/>
      <c r="G78" s="60"/>
    </row>
    <row r="79" spans="1:20" x14ac:dyDescent="0.25">
      <c r="A79" s="62" t="s">
        <v>269</v>
      </c>
      <c r="B79" s="180">
        <v>0.08</v>
      </c>
      <c r="C79" s="180">
        <v>0.08</v>
      </c>
      <c r="D79" s="180">
        <v>0.08</v>
      </c>
      <c r="E79" s="181">
        <v>0.08</v>
      </c>
      <c r="F79" s="60"/>
      <c r="G79" s="60"/>
    </row>
    <row r="80" spans="1:20" x14ac:dyDescent="0.25">
      <c r="A80" s="62" t="s">
        <v>171</v>
      </c>
      <c r="B80" s="180">
        <v>0.05</v>
      </c>
      <c r="C80" s="180">
        <v>0.05</v>
      </c>
      <c r="D80" s="180">
        <v>0.05</v>
      </c>
      <c r="E80" s="181">
        <v>0.05</v>
      </c>
      <c r="F80" s="60"/>
      <c r="G80" s="60"/>
    </row>
    <row r="81" spans="1:7" x14ac:dyDescent="0.25">
      <c r="A81" s="62" t="s">
        <v>172</v>
      </c>
      <c r="B81" s="160">
        <v>1</v>
      </c>
      <c r="C81" s="160">
        <v>1</v>
      </c>
      <c r="D81" s="160">
        <v>1</v>
      </c>
      <c r="E81" s="161">
        <v>1</v>
      </c>
      <c r="F81" s="60"/>
      <c r="G81" s="60"/>
    </row>
    <row r="82" spans="1:7" x14ac:dyDescent="0.25">
      <c r="A82" s="62" t="s">
        <v>173</v>
      </c>
      <c r="B82" s="160">
        <v>1</v>
      </c>
      <c r="C82" s="160">
        <v>1</v>
      </c>
      <c r="D82" s="160">
        <v>1</v>
      </c>
      <c r="E82" s="161">
        <v>1</v>
      </c>
      <c r="F82" s="60"/>
      <c r="G82" s="60"/>
    </row>
    <row r="83" spans="1:7" x14ac:dyDescent="0.25">
      <c r="A83" s="62" t="s">
        <v>127</v>
      </c>
      <c r="B83" s="9">
        <f>+B82*0.7457*B78*B81*$A$8</f>
        <v>3.0774666150000001</v>
      </c>
      <c r="C83" s="9">
        <f>+C82*0.7457*C78*C81*$A$8</f>
        <v>3.2826310559999996</v>
      </c>
      <c r="D83" s="9">
        <f>+D82*0.7457*D78*D81*$A$8</f>
        <v>3.692959938</v>
      </c>
      <c r="E83" s="57">
        <f>+E82*0.7457*E78*E81*$A$8</f>
        <v>4.1032888200000004</v>
      </c>
      <c r="F83" s="60"/>
      <c r="G83" s="60"/>
    </row>
    <row r="84" spans="1:7" ht="13.8" thickBot="1" x14ac:dyDescent="0.3">
      <c r="A84" s="70" t="s">
        <v>174</v>
      </c>
      <c r="B84" s="106">
        <f>+B78*B80*$B$3</f>
        <v>0</v>
      </c>
      <c r="C84" s="106">
        <f t="shared" ref="C84:E84" si="3">+C78*C80*$B$3</f>
        <v>0</v>
      </c>
      <c r="D84" s="106">
        <f t="shared" si="3"/>
        <v>0</v>
      </c>
      <c r="E84" s="150">
        <f t="shared" si="3"/>
        <v>0</v>
      </c>
      <c r="F84" s="60"/>
      <c r="G84" s="60"/>
    </row>
    <row r="85" spans="1:7" ht="13.8" thickBot="1" x14ac:dyDescent="0.3">
      <c r="A85" s="174"/>
      <c r="B85" s="175"/>
      <c r="C85" s="175"/>
      <c r="D85" s="175"/>
      <c r="E85" s="175"/>
      <c r="F85" s="60"/>
      <c r="G85" s="60"/>
    </row>
    <row r="86" spans="1:7" x14ac:dyDescent="0.25">
      <c r="A86" s="204" t="s">
        <v>250</v>
      </c>
      <c r="B86" s="205"/>
      <c r="C86" s="205"/>
      <c r="D86" s="205"/>
      <c r="E86" s="206"/>
      <c r="F86" s="60"/>
      <c r="G86" s="60"/>
    </row>
    <row r="87" spans="1:7" x14ac:dyDescent="0.25">
      <c r="A87" s="137" t="s">
        <v>234</v>
      </c>
      <c r="B87" s="138">
        <v>0</v>
      </c>
      <c r="C87" s="138">
        <v>0</v>
      </c>
      <c r="D87" s="138">
        <v>0</v>
      </c>
      <c r="E87" s="139">
        <v>0</v>
      </c>
      <c r="F87" s="60"/>
      <c r="G87" s="60"/>
    </row>
    <row r="88" spans="1:7" x14ac:dyDescent="0.25">
      <c r="A88" s="62" t="s">
        <v>270</v>
      </c>
      <c r="B88" s="177">
        <v>85</v>
      </c>
      <c r="C88" s="177">
        <v>85</v>
      </c>
      <c r="D88" s="177">
        <v>85</v>
      </c>
      <c r="E88" s="177">
        <v>85</v>
      </c>
      <c r="F88" s="60"/>
      <c r="G88" s="60"/>
    </row>
    <row r="89" spans="1:7" x14ac:dyDescent="0.25">
      <c r="A89" s="62" t="s">
        <v>230</v>
      </c>
      <c r="B89" s="178">
        <v>7</v>
      </c>
      <c r="C89" s="178">
        <v>7</v>
      </c>
      <c r="D89" s="178">
        <v>7</v>
      </c>
      <c r="E89" s="178">
        <v>7</v>
      </c>
      <c r="F89" s="60"/>
      <c r="G89" s="60"/>
    </row>
    <row r="90" spans="1:7" x14ac:dyDescent="0.25">
      <c r="A90" s="176" t="s">
        <v>175</v>
      </c>
      <c r="B90" s="177">
        <v>1</v>
      </c>
      <c r="C90" s="177">
        <v>1</v>
      </c>
      <c r="D90" s="177">
        <v>1</v>
      </c>
      <c r="E90" s="179">
        <v>1</v>
      </c>
      <c r="F90" s="60"/>
      <c r="G90" s="60"/>
    </row>
    <row r="91" spans="1:7" x14ac:dyDescent="0.25">
      <c r="A91" s="62" t="s">
        <v>176</v>
      </c>
      <c r="B91" s="63">
        <f>IF($B$49="yes",B19*$B$14/B79,B19)</f>
        <v>2250</v>
      </c>
      <c r="C91" s="63">
        <f t="shared" ref="C91:E91" si="4">IF($B$49="yes",C19*$B$14/C79,C19)</f>
        <v>2400</v>
      </c>
      <c r="D91" s="63">
        <f t="shared" si="4"/>
        <v>2700</v>
      </c>
      <c r="E91" s="63">
        <f t="shared" si="4"/>
        <v>3000</v>
      </c>
      <c r="F91" s="60"/>
      <c r="G91" s="60"/>
    </row>
    <row r="92" spans="1:7" x14ac:dyDescent="0.25">
      <c r="A92" s="62" t="s">
        <v>177</v>
      </c>
      <c r="B92" s="63">
        <f>+B91/B88</f>
        <v>26.470588235294116</v>
      </c>
      <c r="C92" s="63">
        <f>+C91/C88</f>
        <v>28.235294117647058</v>
      </c>
      <c r="D92" s="63">
        <f>+D91/D88</f>
        <v>31.764705882352942</v>
      </c>
      <c r="E92" s="64">
        <f>+E91/E88</f>
        <v>35.294117647058826</v>
      </c>
      <c r="F92" s="60"/>
      <c r="G92" s="60"/>
    </row>
    <row r="93" spans="1:7" x14ac:dyDescent="0.25">
      <c r="A93" s="62" t="s">
        <v>232</v>
      </c>
      <c r="B93" s="63">
        <f>+B92*B90</f>
        <v>26.470588235294116</v>
      </c>
      <c r="C93" s="63">
        <f t="shared" ref="C93:E93" si="5">+C92*C90</f>
        <v>28.235294117647058</v>
      </c>
      <c r="D93" s="63">
        <f t="shared" si="5"/>
        <v>31.764705882352942</v>
      </c>
      <c r="E93" s="64">
        <f t="shared" si="5"/>
        <v>35.294117647058826</v>
      </c>
      <c r="F93" s="60"/>
      <c r="G93" s="60"/>
    </row>
    <row r="94" spans="1:7" x14ac:dyDescent="0.25">
      <c r="A94" s="66" t="s">
        <v>231</v>
      </c>
      <c r="B94" s="9">
        <v>2.95</v>
      </c>
      <c r="C94" s="9">
        <v>2.95</v>
      </c>
      <c r="D94" s="9">
        <v>2.95</v>
      </c>
      <c r="E94" s="57">
        <v>2.95</v>
      </c>
      <c r="F94" s="60"/>
      <c r="G94" s="60"/>
    </row>
    <row r="95" spans="1:7" x14ac:dyDescent="0.25">
      <c r="A95" s="62" t="s">
        <v>233</v>
      </c>
      <c r="B95" s="9">
        <f>+B93*B94*B89</f>
        <v>546.61764705882354</v>
      </c>
      <c r="C95" s="9">
        <f t="shared" ref="C95:E95" si="6">+C93*C94*C89</f>
        <v>583.05882352941182</v>
      </c>
      <c r="D95" s="9">
        <f t="shared" si="6"/>
        <v>655.94117647058829</v>
      </c>
      <c r="E95" s="57">
        <f t="shared" si="6"/>
        <v>728.82352941176475</v>
      </c>
      <c r="F95" s="60"/>
      <c r="G95" s="60"/>
    </row>
    <row r="96" spans="1:7" ht="13.8" thickBot="1" x14ac:dyDescent="0.3">
      <c r="A96" s="70" t="s">
        <v>178</v>
      </c>
      <c r="B96" s="94">
        <f>B93*B87*$B$3</f>
        <v>0</v>
      </c>
      <c r="C96" s="94">
        <f t="shared" ref="C96:E96" si="7">C93*C87*$B$3</f>
        <v>0</v>
      </c>
      <c r="D96" s="94">
        <f t="shared" si="7"/>
        <v>0</v>
      </c>
      <c r="E96" s="95">
        <f t="shared" si="7"/>
        <v>0</v>
      </c>
      <c r="F96" s="60"/>
      <c r="G96" s="60"/>
    </row>
    <row r="97" spans="1:13" ht="13.8" thickBot="1" x14ac:dyDescent="0.3">
      <c r="A97" s="104"/>
      <c r="B97" s="105"/>
      <c r="C97" s="105"/>
      <c r="D97" s="105"/>
      <c r="E97" s="105"/>
      <c r="F97" s="73"/>
      <c r="G97" s="60"/>
    </row>
    <row r="98" spans="1:13" x14ac:dyDescent="0.25">
      <c r="A98" s="201" t="s">
        <v>183</v>
      </c>
      <c r="B98" s="202"/>
      <c r="C98" s="202"/>
      <c r="D98" s="202"/>
      <c r="E98" s="203"/>
      <c r="F98" s="60"/>
      <c r="G98" s="60"/>
      <c r="M98" s="73"/>
    </row>
    <row r="99" spans="1:13" x14ac:dyDescent="0.25">
      <c r="A99" s="62" t="s">
        <v>149</v>
      </c>
      <c r="B99" s="9">
        <f>+B62+B70+B73+B83+B84+B95+B96</f>
        <v>601.39655280582349</v>
      </c>
      <c r="C99" s="9">
        <f>+C62+C70+C73+C83+C84+C95+C96</f>
        <v>663.89361328341181</v>
      </c>
      <c r="D99" s="9">
        <f>+D62+D70+D73+D83+D84+D95+D96</f>
        <v>737.18629510658832</v>
      </c>
      <c r="E99" s="57">
        <f>+E62+E70+E73+E83+E84+E95+E96</f>
        <v>810.47897692976471</v>
      </c>
      <c r="F99" s="73"/>
      <c r="G99" s="73"/>
      <c r="H99" s="73"/>
      <c r="I99" s="73"/>
    </row>
    <row r="100" spans="1:13" x14ac:dyDescent="0.25">
      <c r="A100" s="99" t="s">
        <v>179</v>
      </c>
      <c r="B100" s="107">
        <f>+B99/(B27)</f>
        <v>2.8733390856278236</v>
      </c>
      <c r="C100" s="107">
        <f t="shared" ref="C100:E100" si="8">+C99/(C27)</f>
        <v>2.9736901428319489</v>
      </c>
      <c r="D100" s="107">
        <f t="shared" si="8"/>
        <v>2.935093582368824</v>
      </c>
      <c r="E100" s="151">
        <f t="shared" si="8"/>
        <v>2.9042163339983236</v>
      </c>
      <c r="F100" s="60"/>
      <c r="G100" s="60"/>
    </row>
    <row r="101" spans="1:13" x14ac:dyDescent="0.25">
      <c r="A101" s="62" t="s">
        <v>180</v>
      </c>
      <c r="B101" s="9">
        <f>+B100/128</f>
        <v>2.2447961606467372E-2</v>
      </c>
      <c r="C101" s="9">
        <f>+C100/128</f>
        <v>2.3231954240874601E-2</v>
      </c>
      <c r="D101" s="9">
        <f>+D100/128</f>
        <v>2.2930418612256438E-2</v>
      </c>
      <c r="E101" s="57">
        <f>+E100/128</f>
        <v>2.2689190109361903E-2</v>
      </c>
      <c r="F101" s="60"/>
      <c r="G101" s="60"/>
    </row>
    <row r="102" spans="1:13" x14ac:dyDescent="0.25">
      <c r="A102" s="62" t="s">
        <v>182</v>
      </c>
      <c r="B102" s="9">
        <f>+B101*8</f>
        <v>0.17958369285173897</v>
      </c>
      <c r="C102" s="9">
        <f>+C101*8</f>
        <v>0.1858556339269968</v>
      </c>
      <c r="D102" s="9">
        <f>+D101*8</f>
        <v>0.1834433488980515</v>
      </c>
      <c r="E102" s="57">
        <f>+E101*8</f>
        <v>0.18151352087489522</v>
      </c>
      <c r="F102" s="60"/>
      <c r="G102" s="60"/>
    </row>
    <row r="103" spans="1:13" ht="13.8" thickBot="1" x14ac:dyDescent="0.3">
      <c r="A103" s="70" t="s">
        <v>181</v>
      </c>
      <c r="B103" s="94">
        <f>+B101*12</f>
        <v>0.26937553927760849</v>
      </c>
      <c r="C103" s="94">
        <f>+C101*12</f>
        <v>0.27878345089049522</v>
      </c>
      <c r="D103" s="94">
        <f>+D101*12</f>
        <v>0.27516502334707726</v>
      </c>
      <c r="E103" s="95">
        <f>+E101*12</f>
        <v>0.27227028131234282</v>
      </c>
      <c r="F103" s="60"/>
      <c r="G103" s="60"/>
      <c r="J103" s="73"/>
      <c r="K103" s="73"/>
      <c r="L103" s="73"/>
    </row>
    <row r="104" spans="1:13" ht="13.8" thickBot="1" x14ac:dyDescent="0.3">
      <c r="A104" s="104"/>
      <c r="B104" s="73"/>
      <c r="C104" s="73"/>
      <c r="D104" s="73"/>
      <c r="E104" s="73"/>
      <c r="F104" s="60"/>
      <c r="G104" s="60"/>
    </row>
    <row r="105" spans="1:13" x14ac:dyDescent="0.25">
      <c r="A105" s="190" t="s">
        <v>111</v>
      </c>
      <c r="B105" s="184"/>
      <c r="C105" s="184"/>
      <c r="D105" s="184"/>
      <c r="E105" s="185"/>
      <c r="F105" s="60"/>
      <c r="G105" s="60"/>
    </row>
    <row r="106" spans="1:13" x14ac:dyDescent="0.25">
      <c r="A106" s="74"/>
      <c r="B106" s="96" t="s">
        <v>80</v>
      </c>
      <c r="C106" s="96" t="s">
        <v>81</v>
      </c>
      <c r="D106" s="96" t="s">
        <v>82</v>
      </c>
      <c r="E106" s="97" t="s">
        <v>205</v>
      </c>
      <c r="F106" s="60"/>
      <c r="G106" s="60"/>
    </row>
    <row r="107" spans="1:13" x14ac:dyDescent="0.25">
      <c r="A107" s="61" t="s">
        <v>184</v>
      </c>
      <c r="B107" s="43">
        <v>0.9</v>
      </c>
      <c r="C107" s="43">
        <v>0.85</v>
      </c>
      <c r="D107" s="43">
        <v>0.85</v>
      </c>
      <c r="E107" s="44">
        <v>0.85</v>
      </c>
      <c r="F107" s="60"/>
      <c r="G107" s="60"/>
    </row>
    <row r="108" spans="1:13" x14ac:dyDescent="0.25">
      <c r="A108" s="61" t="s">
        <v>185</v>
      </c>
      <c r="B108" s="43">
        <v>0.1</v>
      </c>
      <c r="C108" s="43">
        <v>0.15</v>
      </c>
      <c r="D108" s="43">
        <v>0.15</v>
      </c>
      <c r="E108" s="44">
        <v>0.15</v>
      </c>
      <c r="F108" s="60"/>
      <c r="G108" s="60"/>
    </row>
    <row r="109" spans="1:13" x14ac:dyDescent="0.25">
      <c r="A109" s="61" t="s">
        <v>186</v>
      </c>
      <c r="B109" s="75">
        <f>ROUNDDOWN(B$27*128*B107/8,0)</f>
        <v>3013</v>
      </c>
      <c r="C109" s="75">
        <f>ROUNDDOWN(C$27*128*C107/8,0)</f>
        <v>3036</v>
      </c>
      <c r="D109" s="75">
        <f>ROUNDDOWN(D$27*128*D107/8,0)</f>
        <v>3415</v>
      </c>
      <c r="E109" s="76">
        <f>ROUNDDOWN(E$27*128*E107/8,0)</f>
        <v>3795</v>
      </c>
      <c r="F109" s="60"/>
      <c r="G109" s="60"/>
    </row>
    <row r="110" spans="1:13" ht="13.8" thickBot="1" x14ac:dyDescent="0.3">
      <c r="A110" s="77" t="s">
        <v>187</v>
      </c>
      <c r="B110" s="78">
        <f>+ROUNDDOWN(B$27*128*B108/12,0)</f>
        <v>223</v>
      </c>
      <c r="C110" s="78">
        <f>+ROUNDDOWN(C$27*128*C108/12,0)</f>
        <v>357</v>
      </c>
      <c r="D110" s="78">
        <f>+ROUNDDOWN(D$27*128*D108/12,0)</f>
        <v>401</v>
      </c>
      <c r="E110" s="79">
        <f>+ROUNDDOWN(E$27*128*E108/12,0)</f>
        <v>446</v>
      </c>
      <c r="F110" s="60"/>
      <c r="G110" s="60"/>
    </row>
    <row r="111" spans="1:13" ht="13.8" thickBot="1" x14ac:dyDescent="0.3">
      <c r="A111" s="73"/>
      <c r="B111" s="113"/>
      <c r="C111" s="113"/>
      <c r="D111" s="113"/>
      <c r="E111" s="73"/>
      <c r="F111" s="60"/>
      <c r="G111" s="60"/>
    </row>
    <row r="112" spans="1:13" x14ac:dyDescent="0.25">
      <c r="A112" s="109"/>
      <c r="B112" s="184" t="s">
        <v>129</v>
      </c>
      <c r="C112" s="184"/>
      <c r="D112" s="184"/>
      <c r="E112" s="184"/>
      <c r="F112" s="184" t="s">
        <v>130</v>
      </c>
      <c r="G112" s="184"/>
      <c r="H112" s="184"/>
      <c r="I112" s="185"/>
    </row>
    <row r="113" spans="1:9" x14ac:dyDescent="0.25">
      <c r="A113" s="61"/>
      <c r="B113" s="108" t="s">
        <v>108</v>
      </c>
      <c r="C113" s="108"/>
      <c r="D113" s="108"/>
      <c r="E113" s="108"/>
      <c r="F113" s="186" t="s">
        <v>108</v>
      </c>
      <c r="G113" s="186"/>
      <c r="H113" s="186"/>
      <c r="I113" s="187"/>
    </row>
    <row r="114" spans="1:9" x14ac:dyDescent="0.25">
      <c r="A114" s="61"/>
      <c r="B114" s="96" t="s">
        <v>80</v>
      </c>
      <c r="C114" s="96" t="s">
        <v>81</v>
      </c>
      <c r="D114" s="96" t="s">
        <v>82</v>
      </c>
      <c r="E114" s="97" t="s">
        <v>205</v>
      </c>
      <c r="F114" s="96" t="s">
        <v>80</v>
      </c>
      <c r="G114" s="96" t="s">
        <v>81</v>
      </c>
      <c r="H114" s="96" t="s">
        <v>82</v>
      </c>
      <c r="I114" s="97" t="s">
        <v>205</v>
      </c>
    </row>
    <row r="115" spans="1:9" ht="13.8" thickBot="1" x14ac:dyDescent="0.3">
      <c r="A115" s="77" t="s">
        <v>188</v>
      </c>
      <c r="B115" s="94">
        <v>10</v>
      </c>
      <c r="C115" s="94">
        <v>10</v>
      </c>
      <c r="D115" s="94">
        <v>10</v>
      </c>
      <c r="E115" s="94">
        <v>10</v>
      </c>
      <c r="F115" s="110">
        <v>15</v>
      </c>
      <c r="G115" s="110">
        <v>15</v>
      </c>
      <c r="H115" s="110">
        <v>15</v>
      </c>
      <c r="I115" s="111">
        <v>15</v>
      </c>
    </row>
    <row r="116" spans="1:9" ht="13.8" thickBot="1" x14ac:dyDescent="0.3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9" x14ac:dyDescent="0.25">
      <c r="A117" s="109"/>
      <c r="B117" s="184" t="s">
        <v>106</v>
      </c>
      <c r="C117" s="184"/>
      <c r="D117" s="184"/>
      <c r="E117" s="184"/>
      <c r="F117" s="184" t="s">
        <v>106</v>
      </c>
      <c r="G117" s="184"/>
      <c r="H117" s="184"/>
      <c r="I117" s="185"/>
    </row>
    <row r="118" spans="1:9" ht="13.8" thickBot="1" x14ac:dyDescent="0.3">
      <c r="A118" s="77" t="s">
        <v>131</v>
      </c>
      <c r="B118" s="46">
        <f>+B102</f>
        <v>0.17958369285173897</v>
      </c>
      <c r="C118" s="46">
        <f>+C102</f>
        <v>0.1858556339269968</v>
      </c>
      <c r="D118" s="46">
        <f>+D102</f>
        <v>0.1834433488980515</v>
      </c>
      <c r="E118" s="46">
        <f>+E102</f>
        <v>0.18151352087489522</v>
      </c>
      <c r="F118" s="94">
        <f>+B103</f>
        <v>0.26937553927760849</v>
      </c>
      <c r="G118" s="94">
        <f>+C103</f>
        <v>0.27878345089049522</v>
      </c>
      <c r="H118" s="94">
        <f>+D103</f>
        <v>0.27516502334707726</v>
      </c>
      <c r="I118" s="95">
        <f>+E103</f>
        <v>0.27227028131234282</v>
      </c>
    </row>
    <row r="119" spans="1:9" ht="13.8" thickBot="1" x14ac:dyDescent="0.3">
      <c r="A119" s="118" t="s">
        <v>102</v>
      </c>
      <c r="B119" s="119">
        <f t="shared" ref="B119:I119" si="9">+B118</f>
        <v>0.17958369285173897</v>
      </c>
      <c r="C119" s="119">
        <f t="shared" si="9"/>
        <v>0.1858556339269968</v>
      </c>
      <c r="D119" s="119">
        <f t="shared" si="9"/>
        <v>0.1834433488980515</v>
      </c>
      <c r="E119" s="119">
        <f t="shared" si="9"/>
        <v>0.18151352087489522</v>
      </c>
      <c r="F119" s="122">
        <f t="shared" si="9"/>
        <v>0.26937553927760849</v>
      </c>
      <c r="G119" s="122">
        <f t="shared" si="9"/>
        <v>0.27878345089049522</v>
      </c>
      <c r="H119" s="122">
        <f t="shared" si="9"/>
        <v>0.27516502334707726</v>
      </c>
      <c r="I119" s="123">
        <f t="shared" si="9"/>
        <v>0.27227028131234282</v>
      </c>
    </row>
    <row r="120" spans="1:9" ht="13.8" thickBot="1" x14ac:dyDescent="0.3">
      <c r="A120" s="73"/>
      <c r="B120" s="73"/>
      <c r="C120" s="73"/>
      <c r="D120" s="73"/>
      <c r="E120" s="73"/>
      <c r="F120" s="73"/>
      <c r="G120" s="73"/>
      <c r="H120" s="73"/>
      <c r="I120" s="73"/>
    </row>
    <row r="121" spans="1:9" x14ac:dyDescent="0.25">
      <c r="A121" s="109"/>
      <c r="B121" s="184" t="s">
        <v>107</v>
      </c>
      <c r="C121" s="184"/>
      <c r="D121" s="184"/>
      <c r="E121" s="184"/>
      <c r="F121" s="184" t="s">
        <v>107</v>
      </c>
      <c r="G121" s="184"/>
      <c r="H121" s="184"/>
      <c r="I121" s="185"/>
    </row>
    <row r="122" spans="1:9" x14ac:dyDescent="0.25">
      <c r="A122" s="61" t="s">
        <v>133</v>
      </c>
      <c r="B122" s="9">
        <v>0.7</v>
      </c>
      <c r="C122" s="9">
        <v>0.7</v>
      </c>
      <c r="D122" s="9">
        <v>0.7</v>
      </c>
      <c r="E122" s="9">
        <v>0.7</v>
      </c>
      <c r="F122" s="9">
        <v>1.3</v>
      </c>
      <c r="G122" s="9">
        <v>1.3</v>
      </c>
      <c r="H122" s="9">
        <v>1.3</v>
      </c>
      <c r="I122" s="57">
        <v>1.3</v>
      </c>
    </row>
    <row r="123" spans="1:9" x14ac:dyDescent="0.25">
      <c r="A123" s="61" t="s">
        <v>132</v>
      </c>
      <c r="B123" s="63">
        <v>1</v>
      </c>
      <c r="C123" s="63">
        <v>1</v>
      </c>
      <c r="D123" s="63">
        <v>1</v>
      </c>
      <c r="E123" s="63">
        <v>1</v>
      </c>
      <c r="F123" s="63">
        <v>1</v>
      </c>
      <c r="G123" s="63">
        <v>1</v>
      </c>
      <c r="H123" s="63">
        <v>1</v>
      </c>
      <c r="I123" s="64">
        <v>1</v>
      </c>
    </row>
    <row r="124" spans="1:9" ht="13.8" thickBot="1" x14ac:dyDescent="0.3">
      <c r="A124" s="77" t="s">
        <v>134</v>
      </c>
      <c r="B124" s="94">
        <v>0.35</v>
      </c>
      <c r="C124" s="94">
        <v>0.35</v>
      </c>
      <c r="D124" s="94">
        <v>0.35</v>
      </c>
      <c r="E124" s="94">
        <v>0.35</v>
      </c>
      <c r="F124" s="94">
        <v>0.35</v>
      </c>
      <c r="G124" s="94">
        <v>0.35</v>
      </c>
      <c r="H124" s="94">
        <v>0.35</v>
      </c>
      <c r="I124" s="95">
        <v>0.35</v>
      </c>
    </row>
    <row r="125" spans="1:9" ht="13.8" thickBot="1" x14ac:dyDescent="0.3">
      <c r="A125" s="118" t="s">
        <v>135</v>
      </c>
      <c r="B125" s="119">
        <f t="shared" ref="B125:I125" si="10">+(B123*B124)+B122</f>
        <v>1.0499999999999998</v>
      </c>
      <c r="C125" s="119">
        <f t="shared" si="10"/>
        <v>1.0499999999999998</v>
      </c>
      <c r="D125" s="119">
        <f t="shared" si="10"/>
        <v>1.0499999999999998</v>
      </c>
      <c r="E125" s="119">
        <f t="shared" si="10"/>
        <v>1.0499999999999998</v>
      </c>
      <c r="F125" s="119">
        <f t="shared" si="10"/>
        <v>1.65</v>
      </c>
      <c r="G125" s="119">
        <f t="shared" si="10"/>
        <v>1.65</v>
      </c>
      <c r="H125" s="119">
        <f t="shared" si="10"/>
        <v>1.65</v>
      </c>
      <c r="I125" s="120">
        <f t="shared" si="10"/>
        <v>1.65</v>
      </c>
    </row>
    <row r="126" spans="1:9" ht="13.8" thickBot="1" x14ac:dyDescent="0.3">
      <c r="A126" s="73"/>
      <c r="B126" s="73"/>
      <c r="C126" s="73"/>
      <c r="D126" s="73"/>
      <c r="E126" s="73"/>
      <c r="F126" s="73"/>
      <c r="G126" s="73"/>
      <c r="H126" s="73"/>
      <c r="I126" s="73"/>
    </row>
    <row r="127" spans="1:9" hidden="1" x14ac:dyDescent="0.25">
      <c r="A127" s="109"/>
      <c r="B127" s="184" t="s">
        <v>189</v>
      </c>
      <c r="C127" s="184"/>
      <c r="D127" s="184"/>
      <c r="E127" s="184"/>
      <c r="F127" s="184" t="s">
        <v>189</v>
      </c>
      <c r="G127" s="184"/>
      <c r="H127" s="184"/>
      <c r="I127" s="185"/>
    </row>
    <row r="128" spans="1:9" hidden="1" x14ac:dyDescent="0.25">
      <c r="A128" s="61" t="s">
        <v>190</v>
      </c>
      <c r="B128" s="63">
        <v>1.25</v>
      </c>
      <c r="C128" s="63">
        <v>1.25</v>
      </c>
      <c r="D128" s="63">
        <v>1.25</v>
      </c>
      <c r="E128" s="63">
        <v>1.25</v>
      </c>
      <c r="F128" s="63">
        <v>1</v>
      </c>
      <c r="G128" s="63">
        <v>1</v>
      </c>
      <c r="H128" s="63">
        <v>1</v>
      </c>
      <c r="I128" s="64">
        <v>1</v>
      </c>
    </row>
    <row r="129" spans="1:20" hidden="1" x14ac:dyDescent="0.25">
      <c r="A129" s="61" t="s">
        <v>191</v>
      </c>
      <c r="B129" s="63">
        <v>3</v>
      </c>
      <c r="C129" s="63">
        <v>3</v>
      </c>
      <c r="D129" s="63">
        <v>3</v>
      </c>
      <c r="E129" s="63">
        <v>3</v>
      </c>
      <c r="F129" s="63">
        <v>3</v>
      </c>
      <c r="G129" s="63">
        <v>3</v>
      </c>
      <c r="H129" s="63">
        <v>3</v>
      </c>
      <c r="I129" s="64">
        <v>3</v>
      </c>
    </row>
    <row r="130" spans="1:20" hidden="1" x14ac:dyDescent="0.25">
      <c r="A130" s="61"/>
      <c r="B130" s="63"/>
      <c r="C130" s="63"/>
      <c r="D130" s="63"/>
      <c r="E130" s="63"/>
      <c r="F130" s="63"/>
      <c r="G130" s="63"/>
      <c r="H130" s="63"/>
      <c r="I130" s="64"/>
    </row>
    <row r="131" spans="1:20" hidden="1" x14ac:dyDescent="0.25">
      <c r="A131" s="61" t="s">
        <v>192</v>
      </c>
      <c r="B131" s="45">
        <f>+$B$3/B128/60</f>
        <v>0</v>
      </c>
      <c r="C131" s="45">
        <f t="shared" ref="C131:I131" si="11">+$B$3/C128/60</f>
        <v>0</v>
      </c>
      <c r="D131" s="45">
        <f t="shared" si="11"/>
        <v>0</v>
      </c>
      <c r="E131" s="45">
        <f t="shared" si="11"/>
        <v>0</v>
      </c>
      <c r="F131" s="45">
        <f t="shared" si="11"/>
        <v>0</v>
      </c>
      <c r="G131" s="45">
        <f t="shared" si="11"/>
        <v>0</v>
      </c>
      <c r="H131" s="45">
        <f t="shared" si="11"/>
        <v>0</v>
      </c>
      <c r="I131" s="45">
        <f t="shared" si="11"/>
        <v>0</v>
      </c>
    </row>
    <row r="132" spans="1:20" ht="13.8" hidden="1" thickBot="1" x14ac:dyDescent="0.3">
      <c r="A132" s="77" t="s">
        <v>193</v>
      </c>
      <c r="B132" s="46">
        <f>$B$3/B129/60</f>
        <v>0</v>
      </c>
      <c r="C132" s="46">
        <f t="shared" ref="C132:I132" si="12">$B$3/C129/60</f>
        <v>0</v>
      </c>
      <c r="D132" s="46">
        <f t="shared" si="12"/>
        <v>0</v>
      </c>
      <c r="E132" s="46">
        <f t="shared" si="12"/>
        <v>0</v>
      </c>
      <c r="F132" s="46">
        <f t="shared" si="12"/>
        <v>0</v>
      </c>
      <c r="G132" s="46">
        <f t="shared" si="12"/>
        <v>0</v>
      </c>
      <c r="H132" s="46">
        <f t="shared" si="12"/>
        <v>0</v>
      </c>
      <c r="I132" s="46">
        <f t="shared" si="12"/>
        <v>0</v>
      </c>
    </row>
    <row r="133" spans="1:20" ht="13.8" hidden="1" thickBot="1" x14ac:dyDescent="0.3">
      <c r="A133" s="118" t="s">
        <v>194</v>
      </c>
      <c r="B133" s="119">
        <f t="shared" ref="B133:I133" si="13">+SUM(B131:B132)</f>
        <v>0</v>
      </c>
      <c r="C133" s="119">
        <f t="shared" si="13"/>
        <v>0</v>
      </c>
      <c r="D133" s="119">
        <f t="shared" si="13"/>
        <v>0</v>
      </c>
      <c r="E133" s="119">
        <f t="shared" si="13"/>
        <v>0</v>
      </c>
      <c r="F133" s="119">
        <f t="shared" si="13"/>
        <v>0</v>
      </c>
      <c r="G133" s="119">
        <f t="shared" si="13"/>
        <v>0</v>
      </c>
      <c r="H133" s="119">
        <f t="shared" si="13"/>
        <v>0</v>
      </c>
      <c r="I133" s="120">
        <f t="shared" si="13"/>
        <v>0</v>
      </c>
    </row>
    <row r="134" spans="1:20" ht="13.8" hidden="1" thickBot="1" x14ac:dyDescent="0.3">
      <c r="A134" s="73"/>
      <c r="B134" s="112"/>
      <c r="C134" s="112"/>
      <c r="D134" s="112"/>
      <c r="E134" s="112"/>
      <c r="F134" s="112"/>
      <c r="G134" s="112"/>
      <c r="H134" s="112"/>
      <c r="I134" s="112"/>
      <c r="P134"/>
      <c r="Q134"/>
      <c r="R134"/>
      <c r="S134"/>
      <c r="T134"/>
    </row>
    <row r="135" spans="1:20" hidden="1" x14ac:dyDescent="0.25">
      <c r="A135" s="109"/>
      <c r="B135" s="197" t="s">
        <v>136</v>
      </c>
      <c r="C135" s="197"/>
      <c r="D135" s="197"/>
      <c r="E135" s="197"/>
      <c r="F135" s="197" t="s">
        <v>136</v>
      </c>
      <c r="G135" s="197"/>
      <c r="H135" s="197"/>
      <c r="I135" s="210"/>
      <c r="P135"/>
      <c r="Q135"/>
      <c r="R135"/>
      <c r="S135"/>
      <c r="T135"/>
    </row>
    <row r="136" spans="1:20" ht="13.8" hidden="1" thickBot="1" x14ac:dyDescent="0.3">
      <c r="A136" s="77" t="s">
        <v>145</v>
      </c>
      <c r="B136" s="46">
        <f>+B45</f>
        <v>0.27812113720642767</v>
      </c>
      <c r="C136" s="46">
        <f>+C45</f>
        <v>0.3389330975537872</v>
      </c>
      <c r="D136" s="46">
        <f>+D45</f>
        <v>0.31446540880503143</v>
      </c>
      <c r="E136" s="46">
        <f>+E45</f>
        <v>0.28295213393067675</v>
      </c>
      <c r="F136" s="46">
        <f>+B45</f>
        <v>0.27812113720642767</v>
      </c>
      <c r="G136" s="46">
        <f>+C45</f>
        <v>0.3389330975537872</v>
      </c>
      <c r="H136" s="46">
        <f>+D45</f>
        <v>0.31446540880503143</v>
      </c>
      <c r="I136" s="59">
        <f>+E45</f>
        <v>0.28295213393067675</v>
      </c>
      <c r="P136"/>
      <c r="Q136"/>
      <c r="R136"/>
      <c r="S136"/>
      <c r="T136"/>
    </row>
    <row r="137" spans="1:20" ht="13.8" hidden="1" thickBot="1" x14ac:dyDescent="0.3">
      <c r="A137" s="73"/>
      <c r="B137" s="112"/>
      <c r="C137" s="112"/>
      <c r="D137" s="112"/>
      <c r="E137" s="112"/>
      <c r="F137" s="112"/>
      <c r="G137" s="112"/>
      <c r="H137" s="112"/>
      <c r="I137" s="112"/>
      <c r="P137"/>
      <c r="Q137"/>
      <c r="R137"/>
      <c r="S137"/>
      <c r="T137"/>
    </row>
    <row r="138" spans="1:20" x14ac:dyDescent="0.25">
      <c r="A138" s="109"/>
      <c r="B138" s="184" t="s">
        <v>197</v>
      </c>
      <c r="C138" s="184"/>
      <c r="D138" s="184"/>
      <c r="E138" s="184"/>
      <c r="F138" s="184" t="s">
        <v>198</v>
      </c>
      <c r="G138" s="184"/>
      <c r="H138" s="184"/>
      <c r="I138" s="185"/>
      <c r="P138"/>
      <c r="Q138"/>
      <c r="R138"/>
      <c r="S138"/>
      <c r="T138"/>
    </row>
    <row r="139" spans="1:20" ht="13.8" thickBot="1" x14ac:dyDescent="0.3">
      <c r="A139" s="114" t="s">
        <v>195</v>
      </c>
      <c r="B139" s="46">
        <f t="shared" ref="B139:I139" si="14">+B119+B125+B133+B136</f>
        <v>1.5077048300581664</v>
      </c>
      <c r="C139" s="46">
        <f t="shared" si="14"/>
        <v>1.5747887314807838</v>
      </c>
      <c r="D139" s="46">
        <f t="shared" si="14"/>
        <v>1.5479087577030828</v>
      </c>
      <c r="E139" s="46">
        <f t="shared" si="14"/>
        <v>1.5144656548055719</v>
      </c>
      <c r="F139" s="46">
        <f t="shared" si="14"/>
        <v>2.197496676484036</v>
      </c>
      <c r="G139" s="46">
        <f t="shared" si="14"/>
        <v>2.2677165484442821</v>
      </c>
      <c r="H139" s="46">
        <f t="shared" si="14"/>
        <v>2.2396304321521088</v>
      </c>
      <c r="I139" s="59">
        <f t="shared" si="14"/>
        <v>2.2052224152430195</v>
      </c>
      <c r="P139"/>
      <c r="Q139"/>
      <c r="R139"/>
      <c r="S139"/>
      <c r="T139"/>
    </row>
    <row r="140" spans="1:20" ht="13.8" thickBot="1" x14ac:dyDescent="0.3">
      <c r="A140" s="65"/>
      <c r="B140" s="73"/>
      <c r="C140" s="73"/>
      <c r="D140" s="73"/>
      <c r="E140" s="73"/>
      <c r="F140" s="73"/>
      <c r="G140" s="73"/>
      <c r="H140" s="73"/>
      <c r="I140" s="121"/>
      <c r="P140"/>
      <c r="Q140"/>
      <c r="R140"/>
      <c r="S140"/>
      <c r="T140"/>
    </row>
    <row r="141" spans="1:20" ht="13.8" thickBot="1" x14ac:dyDescent="0.3">
      <c r="A141" s="115" t="s">
        <v>196</v>
      </c>
      <c r="B141" s="116">
        <f>+C115-B139</f>
        <v>8.4922951699418334</v>
      </c>
      <c r="C141" s="116">
        <f>+D115-C139</f>
        <v>8.4252112685192166</v>
      </c>
      <c r="D141" s="116">
        <f>+E115-D139</f>
        <v>8.4520912422969179</v>
      </c>
      <c r="E141" s="116">
        <f>+F115-E139</f>
        <v>13.485534345194427</v>
      </c>
      <c r="F141" s="116">
        <f>+D115-F139</f>
        <v>7.802503323515964</v>
      </c>
      <c r="G141" s="116">
        <f>+E115-G139</f>
        <v>7.7322834515557179</v>
      </c>
      <c r="H141" s="116">
        <f>+F115-H139</f>
        <v>12.760369567847892</v>
      </c>
      <c r="I141" s="117">
        <f>+G115-I139</f>
        <v>12.79477758475698</v>
      </c>
      <c r="P141"/>
      <c r="Q141"/>
      <c r="R141"/>
      <c r="S141"/>
      <c r="T141"/>
    </row>
    <row r="142" spans="1:20" x14ac:dyDescent="0.25">
      <c r="F142" s="60"/>
      <c r="G142" s="60"/>
      <c r="P142"/>
      <c r="Q142"/>
      <c r="R142"/>
      <c r="S142"/>
      <c r="T142"/>
    </row>
    <row r="143" spans="1:20" x14ac:dyDescent="0.25">
      <c r="A143" s="147" t="s">
        <v>253</v>
      </c>
      <c r="B143" s="4">
        <v>6</v>
      </c>
      <c r="F143" s="60"/>
      <c r="G143" s="60"/>
      <c r="P143"/>
      <c r="Q143"/>
      <c r="R143"/>
      <c r="S143"/>
      <c r="T143"/>
    </row>
    <row r="144" spans="1:20" x14ac:dyDescent="0.25">
      <c r="A144" s="147" t="s">
        <v>243</v>
      </c>
      <c r="B144" s="4">
        <f>'Maple Start Up Costs'!B20/1000*B143</f>
        <v>426.81000000000006</v>
      </c>
      <c r="F144" s="60"/>
      <c r="G144" s="60"/>
      <c r="I144"/>
      <c r="J144"/>
      <c r="K144"/>
      <c r="L144"/>
      <c r="M144"/>
      <c r="P144"/>
      <c r="Q144"/>
      <c r="R144"/>
      <c r="S144"/>
      <c r="T144"/>
    </row>
    <row r="145" spans="1:20" x14ac:dyDescent="0.25">
      <c r="B145" s="4"/>
      <c r="F145" s="60"/>
      <c r="G145" s="60"/>
      <c r="I145"/>
      <c r="J145"/>
      <c r="K145"/>
      <c r="L145"/>
      <c r="M145"/>
      <c r="P145"/>
      <c r="Q145"/>
      <c r="R145"/>
      <c r="S145"/>
      <c r="T145"/>
    </row>
    <row r="146" spans="1:20" x14ac:dyDescent="0.25">
      <c r="A146" s="147" t="s">
        <v>244</v>
      </c>
      <c r="B146" s="4">
        <v>550</v>
      </c>
      <c r="F146" s="60"/>
      <c r="G146" s="60"/>
      <c r="I146"/>
      <c r="J146"/>
      <c r="K146"/>
      <c r="L146"/>
      <c r="M146"/>
      <c r="P146"/>
      <c r="Q146"/>
      <c r="R146"/>
      <c r="S146"/>
      <c r="T146"/>
    </row>
    <row r="147" spans="1:20" x14ac:dyDescent="0.25">
      <c r="A147" s="147" t="s">
        <v>245</v>
      </c>
      <c r="F147" s="60"/>
      <c r="G147" s="60"/>
      <c r="I147"/>
      <c r="J147"/>
      <c r="K147"/>
      <c r="L147"/>
      <c r="M147"/>
    </row>
    <row r="148" spans="1:20" x14ac:dyDescent="0.25">
      <c r="F148" s="60"/>
      <c r="G148" s="60"/>
      <c r="I148"/>
      <c r="J148"/>
      <c r="K148"/>
      <c r="L148"/>
      <c r="M148"/>
    </row>
    <row r="149" spans="1:20" x14ac:dyDescent="0.25">
      <c r="A149" s="147" t="s">
        <v>252</v>
      </c>
      <c r="B149" s="53">
        <v>0.05</v>
      </c>
      <c r="F149" s="60"/>
      <c r="G149" s="60"/>
      <c r="I149"/>
      <c r="J149"/>
      <c r="K149"/>
      <c r="L149"/>
      <c r="M149"/>
    </row>
    <row r="150" spans="1:20" x14ac:dyDescent="0.25">
      <c r="F150" s="60"/>
      <c r="G150" s="60"/>
      <c r="I150"/>
      <c r="J150"/>
      <c r="K150"/>
      <c r="L150"/>
      <c r="M150"/>
    </row>
    <row r="151" spans="1:20" x14ac:dyDescent="0.25">
      <c r="F151" s="60"/>
      <c r="G151" s="60"/>
      <c r="I151"/>
      <c r="J151"/>
      <c r="K151"/>
      <c r="L151"/>
      <c r="M151"/>
    </row>
    <row r="152" spans="1:20" x14ac:dyDescent="0.25">
      <c r="F152" s="60"/>
      <c r="G152" s="60"/>
      <c r="I152"/>
      <c r="J152"/>
      <c r="K152"/>
      <c r="L152"/>
      <c r="M152"/>
    </row>
    <row r="153" spans="1:20" x14ac:dyDescent="0.25">
      <c r="F153" s="60"/>
      <c r="G153" s="60"/>
      <c r="I153"/>
      <c r="J153"/>
      <c r="K153"/>
      <c r="L153"/>
      <c r="M153"/>
    </row>
    <row r="154" spans="1:20" x14ac:dyDescent="0.25">
      <c r="F154" s="60"/>
      <c r="G154" s="60"/>
      <c r="I154"/>
      <c r="J154"/>
      <c r="K154"/>
      <c r="L154"/>
      <c r="M154"/>
    </row>
    <row r="155" spans="1:20" x14ac:dyDescent="0.25">
      <c r="F155" s="60"/>
      <c r="G155" s="60"/>
      <c r="I155"/>
      <c r="J155"/>
      <c r="K155"/>
      <c r="L155"/>
      <c r="M155"/>
    </row>
    <row r="156" spans="1:20" x14ac:dyDescent="0.25">
      <c r="F156" s="60"/>
      <c r="G156" s="60"/>
      <c r="I156"/>
      <c r="J156"/>
      <c r="K156"/>
      <c r="L156"/>
      <c r="M156"/>
    </row>
    <row r="157" spans="1:20" x14ac:dyDescent="0.25">
      <c r="F157" s="60"/>
      <c r="G157" s="60"/>
      <c r="I157"/>
      <c r="J157"/>
      <c r="K157"/>
      <c r="L157"/>
      <c r="M157"/>
    </row>
    <row r="158" spans="1:20" x14ac:dyDescent="0.25">
      <c r="F158" s="60"/>
      <c r="G158" s="60"/>
      <c r="I158"/>
      <c r="J158"/>
      <c r="K158"/>
      <c r="L158"/>
      <c r="M158"/>
    </row>
    <row r="159" spans="1:20" x14ac:dyDescent="0.25">
      <c r="F159" s="60"/>
      <c r="G159" s="60"/>
      <c r="I159"/>
      <c r="J159"/>
      <c r="K159"/>
      <c r="L159"/>
      <c r="M159"/>
    </row>
    <row r="160" spans="1:20" x14ac:dyDescent="0.25">
      <c r="F160" s="60"/>
      <c r="G160" s="60"/>
      <c r="I160"/>
      <c r="J160"/>
      <c r="K160"/>
      <c r="L160"/>
      <c r="M160"/>
    </row>
    <row r="161" spans="6:13" x14ac:dyDescent="0.25">
      <c r="F161" s="60"/>
      <c r="G161" s="60"/>
      <c r="I161"/>
      <c r="J161"/>
      <c r="K161"/>
      <c r="L161"/>
      <c r="M161"/>
    </row>
    <row r="162" spans="6:13" x14ac:dyDescent="0.25">
      <c r="F162" s="60"/>
      <c r="G162" s="60"/>
      <c r="I162"/>
      <c r="J162"/>
      <c r="K162"/>
      <c r="L162"/>
      <c r="M162"/>
    </row>
    <row r="163" spans="6:13" x14ac:dyDescent="0.25">
      <c r="F163" s="60"/>
      <c r="G163" s="60"/>
      <c r="I163"/>
      <c r="J163"/>
      <c r="K163"/>
      <c r="L163"/>
      <c r="M163"/>
    </row>
    <row r="164" spans="6:13" x14ac:dyDescent="0.25">
      <c r="F164" s="60"/>
      <c r="G164" s="60"/>
      <c r="I164"/>
      <c r="J164"/>
      <c r="K164"/>
      <c r="L164"/>
      <c r="M164"/>
    </row>
    <row r="165" spans="6:13" x14ac:dyDescent="0.25">
      <c r="F165" s="60"/>
      <c r="G165" s="60"/>
      <c r="I165"/>
      <c r="J165"/>
      <c r="K165"/>
      <c r="L165"/>
      <c r="M165"/>
    </row>
    <row r="166" spans="6:13" x14ac:dyDescent="0.25">
      <c r="F166" s="60"/>
      <c r="G166" s="60"/>
      <c r="I166"/>
      <c r="J166"/>
      <c r="K166"/>
      <c r="L166"/>
      <c r="M166"/>
    </row>
    <row r="167" spans="6:13" x14ac:dyDescent="0.25">
      <c r="F167" s="60"/>
      <c r="G167" s="60"/>
      <c r="I167"/>
      <c r="J167"/>
      <c r="K167"/>
      <c r="L167"/>
      <c r="M167"/>
    </row>
    <row r="168" spans="6:13" x14ac:dyDescent="0.25">
      <c r="F168" s="60"/>
      <c r="G168" s="60"/>
      <c r="I168"/>
      <c r="J168"/>
      <c r="K168"/>
      <c r="L168"/>
      <c r="M168"/>
    </row>
    <row r="169" spans="6:13" x14ac:dyDescent="0.25">
      <c r="F169" s="60"/>
      <c r="G169" s="60"/>
      <c r="I169"/>
      <c r="J169"/>
      <c r="K169"/>
      <c r="L169"/>
      <c r="M169"/>
    </row>
    <row r="170" spans="6:13" x14ac:dyDescent="0.25">
      <c r="F170" s="60"/>
      <c r="G170" s="60"/>
      <c r="I170"/>
      <c r="J170"/>
      <c r="K170"/>
      <c r="L170"/>
      <c r="M170"/>
    </row>
    <row r="171" spans="6:13" x14ac:dyDescent="0.25">
      <c r="F171" s="60"/>
      <c r="G171" s="60"/>
      <c r="I171"/>
      <c r="J171"/>
      <c r="K171"/>
      <c r="L171"/>
      <c r="M171"/>
    </row>
    <row r="172" spans="6:13" x14ac:dyDescent="0.25">
      <c r="F172" s="60"/>
      <c r="G172" s="60"/>
      <c r="I172"/>
      <c r="J172"/>
      <c r="K172"/>
      <c r="L172"/>
      <c r="M172"/>
    </row>
    <row r="173" spans="6:13" x14ac:dyDescent="0.25">
      <c r="F173" s="60"/>
      <c r="G173" s="60"/>
      <c r="I173"/>
      <c r="J173"/>
      <c r="K173"/>
      <c r="L173"/>
      <c r="M173"/>
    </row>
    <row r="174" spans="6:13" x14ac:dyDescent="0.25">
      <c r="F174" s="60"/>
      <c r="G174" s="60"/>
      <c r="I174"/>
      <c r="J174"/>
      <c r="K174"/>
      <c r="L174"/>
      <c r="M174"/>
    </row>
    <row r="175" spans="6:13" x14ac:dyDescent="0.25">
      <c r="F175" s="60"/>
      <c r="G175" s="60"/>
      <c r="I175"/>
      <c r="J175"/>
      <c r="K175"/>
      <c r="L175"/>
      <c r="M175"/>
    </row>
    <row r="176" spans="6:13" x14ac:dyDescent="0.25">
      <c r="F176" s="60"/>
      <c r="G176" s="60"/>
      <c r="I176"/>
      <c r="J176"/>
      <c r="K176"/>
      <c r="L176"/>
      <c r="M176"/>
    </row>
    <row r="177" spans="6:13" x14ac:dyDescent="0.25">
      <c r="F177" s="60"/>
      <c r="G177" s="60"/>
      <c r="I177"/>
      <c r="J177"/>
      <c r="K177"/>
      <c r="L177"/>
      <c r="M177"/>
    </row>
    <row r="178" spans="6:13" x14ac:dyDescent="0.25">
      <c r="F178" s="60"/>
      <c r="G178" s="60"/>
      <c r="I178"/>
      <c r="J178"/>
      <c r="K178"/>
      <c r="L178"/>
      <c r="M178"/>
    </row>
    <row r="179" spans="6:13" x14ac:dyDescent="0.25">
      <c r="F179" s="60"/>
      <c r="G179" s="60"/>
      <c r="I179"/>
      <c r="J179"/>
      <c r="K179"/>
      <c r="L179"/>
      <c r="M179"/>
    </row>
    <row r="180" spans="6:13" x14ac:dyDescent="0.25">
      <c r="F180" s="60"/>
      <c r="G180" s="60"/>
      <c r="I180"/>
      <c r="J180"/>
      <c r="K180"/>
      <c r="L180"/>
      <c r="M180"/>
    </row>
    <row r="181" spans="6:13" x14ac:dyDescent="0.25">
      <c r="F181" s="60"/>
      <c r="G181" s="60"/>
      <c r="I181"/>
      <c r="J181"/>
      <c r="K181"/>
      <c r="L181"/>
      <c r="M181"/>
    </row>
    <row r="182" spans="6:13" x14ac:dyDescent="0.25">
      <c r="F182" s="60"/>
      <c r="G182" s="60"/>
      <c r="I182"/>
      <c r="J182"/>
      <c r="K182"/>
      <c r="L182"/>
      <c r="M182"/>
    </row>
    <row r="183" spans="6:13" x14ac:dyDescent="0.25">
      <c r="F183" s="60"/>
      <c r="G183" s="60"/>
      <c r="I183"/>
      <c r="J183"/>
      <c r="K183"/>
      <c r="L183"/>
      <c r="M183"/>
    </row>
  </sheetData>
  <mergeCells count="28">
    <mergeCell ref="F138:I138"/>
    <mergeCell ref="B135:E135"/>
    <mergeCell ref="A54:E54"/>
    <mergeCell ref="A39:E39"/>
    <mergeCell ref="A76:E76"/>
    <mergeCell ref="B127:E127"/>
    <mergeCell ref="B117:E117"/>
    <mergeCell ref="A64:E64"/>
    <mergeCell ref="A75:E75"/>
    <mergeCell ref="B138:E138"/>
    <mergeCell ref="B112:E112"/>
    <mergeCell ref="B121:E121"/>
    <mergeCell ref="A86:E86"/>
    <mergeCell ref="A98:E98"/>
    <mergeCell ref="F135:I135"/>
    <mergeCell ref="F112:I112"/>
    <mergeCell ref="F117:I117"/>
    <mergeCell ref="F121:I121"/>
    <mergeCell ref="F127:I127"/>
    <mergeCell ref="F113:I113"/>
    <mergeCell ref="A1:B1"/>
    <mergeCell ref="A25:E25"/>
    <mergeCell ref="A21:E21"/>
    <mergeCell ref="A105:E105"/>
    <mergeCell ref="A47:E47"/>
    <mergeCell ref="A7:B7"/>
    <mergeCell ref="A29:E29"/>
    <mergeCell ref="A10:C10"/>
  </mergeCells>
  <dataValidations disablePrompts="1" count="1">
    <dataValidation type="list" allowBlank="1" showInputMessage="1" showErrorMessage="1" sqref="B48:B49">
      <formula1>$J$50:$J$51</formula1>
    </dataValidation>
  </dataValidations>
  <pageMargins left="0.7" right="0.7" top="0.75" bottom="0.75" header="0.3" footer="0.3"/>
  <pageSetup scale="68" orientation="portrait" r:id="rId1"/>
  <colBreaks count="1" manualBreakCount="1">
    <brk id="7" max="18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5"/>
  <sheetViews>
    <sheetView zoomScaleNormal="100" workbookViewId="0"/>
  </sheetViews>
  <sheetFormatPr defaultRowHeight="13.2" x14ac:dyDescent="0.25"/>
  <cols>
    <col min="1" max="1" width="32.88671875" customWidth="1"/>
    <col min="2" max="2" width="13.33203125" bestFit="1" customWidth="1"/>
    <col min="3" max="5" width="12.6640625" customWidth="1"/>
  </cols>
  <sheetData>
    <row r="3" spans="1:5" x14ac:dyDescent="0.25">
      <c r="A3" s="1" t="s">
        <v>97</v>
      </c>
    </row>
    <row r="4" spans="1:5" x14ac:dyDescent="0.25">
      <c r="A4" t="s">
        <v>210</v>
      </c>
      <c r="B4" s="133">
        <f ca="1">TODAY()</f>
        <v>45499</v>
      </c>
    </row>
    <row r="7" spans="1:5" ht="14.4" x14ac:dyDescent="0.3">
      <c r="A7" s="36" t="s">
        <v>23</v>
      </c>
      <c r="B7" s="6"/>
      <c r="C7" s="42"/>
      <c r="D7" s="6"/>
      <c r="E7" s="6"/>
    </row>
    <row r="9" spans="1:5" x14ac:dyDescent="0.25">
      <c r="A9" s="2" t="s">
        <v>0</v>
      </c>
      <c r="B9" s="18" t="s">
        <v>80</v>
      </c>
      <c r="C9" s="18" t="s">
        <v>81</v>
      </c>
      <c r="D9" s="18" t="s">
        <v>82</v>
      </c>
      <c r="E9" s="18" t="s">
        <v>205</v>
      </c>
    </row>
    <row r="10" spans="1:5" x14ac:dyDescent="0.25">
      <c r="A10" s="33" t="s">
        <v>109</v>
      </c>
      <c r="B10" s="4">
        <f>+(Assumptions!B$109*Assumptions!B$115)+(Assumptions!B$110*Assumptions!F$115)</f>
        <v>33475</v>
      </c>
      <c r="C10" s="4">
        <f>+(Assumptions!C$109*Assumptions!C$115)+(Assumptions!C$110*Assumptions!G$115)</f>
        <v>35715</v>
      </c>
      <c r="D10" s="4">
        <f>+(Assumptions!D$109*Assumptions!D$115)+(Assumptions!D$110*Assumptions!H$115)</f>
        <v>40165</v>
      </c>
      <c r="E10" s="4">
        <f>+(Assumptions!E$109*Assumptions!E$115)+(Assumptions!E$110*Assumptions!I$115)</f>
        <v>44640</v>
      </c>
    </row>
    <row r="11" spans="1:5" ht="14.4" x14ac:dyDescent="0.3">
      <c r="A11" s="1" t="s">
        <v>1</v>
      </c>
      <c r="B11" s="5">
        <f>SUM(B10:B10)</f>
        <v>33475</v>
      </c>
      <c r="C11" s="5">
        <f>SUM(C10:C10)</f>
        <v>35715</v>
      </c>
      <c r="D11" s="5">
        <f>SUM(D10:D10)</f>
        <v>40165</v>
      </c>
      <c r="E11" s="5">
        <f>SUM(E10:E10)</f>
        <v>44640</v>
      </c>
    </row>
    <row r="13" spans="1:5" x14ac:dyDescent="0.25">
      <c r="A13" s="2" t="s">
        <v>2</v>
      </c>
    </row>
    <row r="14" spans="1:5" x14ac:dyDescent="0.25">
      <c r="A14" s="130" t="s">
        <v>199</v>
      </c>
      <c r="B14" s="17">
        <f>+Assumptions!B62</f>
        <v>0</v>
      </c>
      <c r="C14" s="17">
        <f>+Assumptions!C62</f>
        <v>0</v>
      </c>
      <c r="D14" s="17">
        <f>+Assumptions!D62</f>
        <v>0</v>
      </c>
      <c r="E14" s="17">
        <f>+Assumptions!E62</f>
        <v>0</v>
      </c>
    </row>
    <row r="15" spans="1:5" x14ac:dyDescent="0.25">
      <c r="A15" s="130" t="s">
        <v>200</v>
      </c>
      <c r="B15" s="17">
        <f>+Assumptions!B70</f>
        <v>0</v>
      </c>
      <c r="C15" s="17">
        <f>+Assumptions!C70</f>
        <v>0</v>
      </c>
      <c r="D15" s="17">
        <f>+Assumptions!D70</f>
        <v>0</v>
      </c>
      <c r="E15" s="17">
        <f>+Assumptions!E70</f>
        <v>0</v>
      </c>
    </row>
    <row r="16" spans="1:5" x14ac:dyDescent="0.25">
      <c r="A16" s="130" t="s">
        <v>201</v>
      </c>
      <c r="B16" s="17">
        <f>+Assumptions!B73</f>
        <v>51.701439131999997</v>
      </c>
      <c r="C16" s="17">
        <f>+Assumptions!C73</f>
        <v>77.552158698</v>
      </c>
      <c r="D16" s="17">
        <f>+Assumptions!D73</f>
        <v>77.552158698</v>
      </c>
      <c r="E16" s="17">
        <f>+Assumptions!E73</f>
        <v>77.552158698</v>
      </c>
    </row>
    <row r="17" spans="1:5" x14ac:dyDescent="0.25">
      <c r="A17" s="130" t="s">
        <v>202</v>
      </c>
      <c r="B17" s="17">
        <f>+Assumptions!B84</f>
        <v>0</v>
      </c>
      <c r="C17" s="17">
        <f>+Assumptions!C84</f>
        <v>0</v>
      </c>
      <c r="D17" s="17">
        <f>+Assumptions!D84</f>
        <v>0</v>
      </c>
      <c r="E17" s="17">
        <f>+Assumptions!E84</f>
        <v>0</v>
      </c>
    </row>
    <row r="18" spans="1:5" x14ac:dyDescent="0.25">
      <c r="A18" s="130" t="s">
        <v>238</v>
      </c>
      <c r="B18" s="17">
        <f>+Assumptions!B83</f>
        <v>3.0774666150000001</v>
      </c>
      <c r="C18" s="17">
        <f>+Assumptions!C83</f>
        <v>3.2826310559999996</v>
      </c>
      <c r="D18" s="17">
        <f>+Assumptions!D83</f>
        <v>3.692959938</v>
      </c>
      <c r="E18" s="17">
        <f>+Assumptions!E83</f>
        <v>4.1032888200000004</v>
      </c>
    </row>
    <row r="19" spans="1:5" x14ac:dyDescent="0.25">
      <c r="A19" s="130" t="s">
        <v>239</v>
      </c>
      <c r="B19" s="17">
        <f>+Assumptions!B95</f>
        <v>546.61764705882354</v>
      </c>
      <c r="C19" s="17">
        <f>+Assumptions!C95</f>
        <v>583.05882352941182</v>
      </c>
      <c r="D19" s="17">
        <f>+Assumptions!D95</f>
        <v>655.94117647058829</v>
      </c>
      <c r="E19" s="17">
        <f>+Assumptions!E95</f>
        <v>728.82352941176475</v>
      </c>
    </row>
    <row r="20" spans="1:5" x14ac:dyDescent="0.25">
      <c r="A20" s="130" t="s">
        <v>203</v>
      </c>
      <c r="B20" s="17">
        <f>+Assumptions!B96</f>
        <v>0</v>
      </c>
      <c r="C20" s="17">
        <f>+Assumptions!C96</f>
        <v>0</v>
      </c>
      <c r="D20" s="17">
        <f>+Assumptions!D96</f>
        <v>0</v>
      </c>
      <c r="E20" s="17">
        <f>+Assumptions!E96</f>
        <v>0</v>
      </c>
    </row>
    <row r="21" spans="1:5" x14ac:dyDescent="0.25">
      <c r="A21" s="34" t="s">
        <v>110</v>
      </c>
      <c r="B21" s="4">
        <f>+(Assumptions!B$125*Assumptions!B$109)+(Assumptions!F$125*Assumptions!B$110)</f>
        <v>3531.5999999999995</v>
      </c>
      <c r="C21" s="4">
        <f>+(Assumptions!C$125*Assumptions!C$109)+(Assumptions!G$125*Assumptions!C$110)</f>
        <v>3776.8499999999995</v>
      </c>
      <c r="D21" s="4">
        <f>+(Assumptions!D$125*Assumptions!D$109)+(Assumptions!H$125*Assumptions!D$110)</f>
        <v>4247.3999999999996</v>
      </c>
      <c r="E21" s="4">
        <f>+(Assumptions!E$125*Assumptions!E$109)+(Assumptions!I$125*Assumptions!E$110)</f>
        <v>4720.6499999999996</v>
      </c>
    </row>
    <row r="22" spans="1:5" x14ac:dyDescent="0.25">
      <c r="A22" s="33" t="s">
        <v>83</v>
      </c>
      <c r="B22" s="4">
        <f>(Assumptions!B$133*Assumptions!B$109)+(Assumptions!F$133*Assumptions!B$110)</f>
        <v>0</v>
      </c>
      <c r="C22" s="4">
        <f>(Assumptions!C$133*Assumptions!C$109)+(Assumptions!G$133*Assumptions!C$110)</f>
        <v>0</v>
      </c>
      <c r="D22" s="4">
        <f>(Assumptions!D$133*Assumptions!D$109)+(Assumptions!H$133*Assumptions!D$110)</f>
        <v>0</v>
      </c>
      <c r="E22" s="4">
        <f>(Assumptions!E$133*Assumptions!E$109)+(Assumptions!I$133*Assumptions!E$110)</f>
        <v>0</v>
      </c>
    </row>
    <row r="23" spans="1:5" x14ac:dyDescent="0.25">
      <c r="A23" s="130" t="s">
        <v>10</v>
      </c>
      <c r="B23" s="4">
        <f>(B14+B15+B17+B20+B22)*Assumptions!$B$4</f>
        <v>0</v>
      </c>
      <c r="C23" s="4">
        <f>(C14+C15+C17+C20+C22)*Assumptions!$B$4</f>
        <v>0</v>
      </c>
      <c r="D23" s="4">
        <f>(D14+D15+D17+D20+D22)*Assumptions!$B$4</f>
        <v>0</v>
      </c>
      <c r="E23" s="4">
        <f>(E14+E15+E17+E20+E22)*Assumptions!$B$4</f>
        <v>0</v>
      </c>
    </row>
    <row r="24" spans="1:5" x14ac:dyDescent="0.25">
      <c r="A24" s="130" t="s">
        <v>241</v>
      </c>
      <c r="B24" s="4">
        <v>0</v>
      </c>
      <c r="C24" s="4">
        <v>0</v>
      </c>
      <c r="D24" s="4">
        <v>0</v>
      </c>
      <c r="E24" s="4">
        <v>0</v>
      </c>
    </row>
    <row r="25" spans="1:5" x14ac:dyDescent="0.25">
      <c r="A25" s="34" t="s">
        <v>85</v>
      </c>
      <c r="B25" s="4">
        <v>0</v>
      </c>
      <c r="C25" s="4">
        <v>0</v>
      </c>
      <c r="D25" s="4">
        <v>0</v>
      </c>
      <c r="E25" s="4">
        <v>0</v>
      </c>
    </row>
    <row r="26" spans="1:5" x14ac:dyDescent="0.25">
      <c r="A26" s="34" t="s">
        <v>84</v>
      </c>
      <c r="B26" s="4">
        <v>0</v>
      </c>
      <c r="C26" s="4">
        <v>0</v>
      </c>
      <c r="D26" s="4">
        <v>0</v>
      </c>
      <c r="E26" s="4">
        <v>0</v>
      </c>
    </row>
    <row r="27" spans="1:5" ht="14.4" x14ac:dyDescent="0.3">
      <c r="A27" s="1" t="s">
        <v>2</v>
      </c>
      <c r="B27" s="5">
        <f>SUM(B14:B26)</f>
        <v>4132.9965528058228</v>
      </c>
      <c r="C27" s="5">
        <f t="shared" ref="C27:E27" si="0">SUM(C14:C26)</f>
        <v>4440.7436132834109</v>
      </c>
      <c r="D27" s="5">
        <f t="shared" si="0"/>
        <v>4984.5862951065883</v>
      </c>
      <c r="E27" s="5">
        <f t="shared" si="0"/>
        <v>5531.1289769297646</v>
      </c>
    </row>
    <row r="29" spans="1:5" ht="14.4" x14ac:dyDescent="0.3">
      <c r="A29" s="1" t="s">
        <v>4</v>
      </c>
      <c r="B29" s="5">
        <f>B11-B27</f>
        <v>29342.003447194176</v>
      </c>
      <c r="C29" s="5">
        <f>C11-C27</f>
        <v>31274.256386716588</v>
      </c>
      <c r="D29" s="5">
        <f>D11-D27</f>
        <v>35180.413704893414</v>
      </c>
      <c r="E29" s="5">
        <f>E11-E27</f>
        <v>39108.871023070235</v>
      </c>
    </row>
    <row r="31" spans="1:5" x14ac:dyDescent="0.25">
      <c r="A31" s="2" t="s">
        <v>5</v>
      </c>
    </row>
    <row r="32" spans="1:5" x14ac:dyDescent="0.25">
      <c r="A32" s="35" t="s">
        <v>6</v>
      </c>
      <c r="B32" s="4">
        <v>0</v>
      </c>
      <c r="C32" s="4">
        <v>0</v>
      </c>
      <c r="D32" s="4">
        <v>0</v>
      </c>
      <c r="E32" s="4">
        <v>0</v>
      </c>
    </row>
    <row r="33" spans="1:5" ht="14.4" x14ac:dyDescent="0.3">
      <c r="A33" s="1" t="s">
        <v>7</v>
      </c>
      <c r="B33" s="5">
        <f>SUM(B32)</f>
        <v>0</v>
      </c>
      <c r="C33" s="5">
        <f>SUM(C32)</f>
        <v>0</v>
      </c>
      <c r="D33" s="5">
        <f>SUM(D32)</f>
        <v>0</v>
      </c>
      <c r="E33" s="5">
        <f>SUM(E32)</f>
        <v>0</v>
      </c>
    </row>
    <row r="35" spans="1:5" x14ac:dyDescent="0.25">
      <c r="A35" s="2" t="s">
        <v>8</v>
      </c>
    </row>
    <row r="36" spans="1:5" x14ac:dyDescent="0.25">
      <c r="A36" s="34" t="s">
        <v>16</v>
      </c>
      <c r="B36" s="4">
        <f>+Assumptions!B44</f>
        <v>900</v>
      </c>
      <c r="C36" s="4">
        <f>+Assumptions!C44</f>
        <v>1150</v>
      </c>
      <c r="D36" s="4">
        <f>+Assumptions!D44</f>
        <v>1200</v>
      </c>
      <c r="E36" s="4">
        <f>+Assumptions!E44</f>
        <v>1200</v>
      </c>
    </row>
    <row r="37" spans="1:5" x14ac:dyDescent="0.25">
      <c r="A37" s="34" t="s">
        <v>63</v>
      </c>
      <c r="B37" s="4">
        <v>0</v>
      </c>
      <c r="C37" s="4">
        <v>0</v>
      </c>
      <c r="D37" s="4">
        <v>0</v>
      </c>
      <c r="E37" s="4">
        <v>0</v>
      </c>
    </row>
    <row r="38" spans="1:5" x14ac:dyDescent="0.25">
      <c r="A38" s="34" t="s">
        <v>12</v>
      </c>
      <c r="B38" s="4">
        <f>Assumptions!$B$144+Assumptions!$B$146</f>
        <v>976.81000000000006</v>
      </c>
      <c r="C38" s="4">
        <f>Assumptions!$B$144+Assumptions!$B$146</f>
        <v>976.81000000000006</v>
      </c>
      <c r="D38" s="4">
        <f>Assumptions!$B$144+Assumptions!$B$146</f>
        <v>976.81000000000006</v>
      </c>
      <c r="E38" s="4">
        <f>Assumptions!$B$144+Assumptions!$B$146</f>
        <v>976.81000000000006</v>
      </c>
    </row>
    <row r="39" spans="1:5" x14ac:dyDescent="0.25">
      <c r="A39" s="34" t="s">
        <v>64</v>
      </c>
      <c r="B39" s="4">
        <v>0</v>
      </c>
      <c r="C39" s="4">
        <v>0</v>
      </c>
      <c r="D39" s="4">
        <v>0</v>
      </c>
      <c r="E39" s="4">
        <v>0</v>
      </c>
    </row>
    <row r="40" spans="1:5" x14ac:dyDescent="0.25">
      <c r="A40" s="34" t="s">
        <v>22</v>
      </c>
      <c r="B40" s="4">
        <v>0</v>
      </c>
      <c r="C40" s="4">
        <v>0</v>
      </c>
      <c r="D40" s="4">
        <v>0</v>
      </c>
      <c r="E40" s="4">
        <v>0</v>
      </c>
    </row>
    <row r="41" spans="1:5" x14ac:dyDescent="0.25">
      <c r="A41" s="34" t="s">
        <v>17</v>
      </c>
      <c r="B41" s="4">
        <v>0</v>
      </c>
      <c r="C41" s="4">
        <v>0</v>
      </c>
      <c r="D41" s="4">
        <v>0</v>
      </c>
      <c r="E41" s="4">
        <v>0</v>
      </c>
    </row>
    <row r="42" spans="1:5" x14ac:dyDescent="0.25">
      <c r="A42" s="34" t="s">
        <v>18</v>
      </c>
      <c r="B42" s="4">
        <v>0</v>
      </c>
      <c r="C42" s="4">
        <v>0</v>
      </c>
      <c r="D42" s="4">
        <v>0</v>
      </c>
      <c r="E42" s="4">
        <v>0</v>
      </c>
    </row>
    <row r="43" spans="1:5" x14ac:dyDescent="0.25">
      <c r="A43" s="33" t="s">
        <v>10</v>
      </c>
      <c r="B43" s="4">
        <v>0</v>
      </c>
      <c r="C43" s="4">
        <v>0</v>
      </c>
      <c r="D43" s="4">
        <v>0</v>
      </c>
      <c r="E43" s="4">
        <v>0</v>
      </c>
    </row>
    <row r="44" spans="1:5" x14ac:dyDescent="0.25">
      <c r="A44" s="34" t="s">
        <v>15</v>
      </c>
      <c r="B44" s="4">
        <v>0</v>
      </c>
      <c r="C44" s="4">
        <v>0</v>
      </c>
      <c r="D44" s="4">
        <v>0</v>
      </c>
      <c r="E44" s="4">
        <v>0</v>
      </c>
    </row>
    <row r="45" spans="1:5" x14ac:dyDescent="0.25">
      <c r="A45" s="33" t="s">
        <v>11</v>
      </c>
      <c r="B45" s="4">
        <v>0</v>
      </c>
      <c r="C45" s="4">
        <v>0</v>
      </c>
      <c r="D45" s="4">
        <v>0</v>
      </c>
      <c r="E45" s="4">
        <v>0</v>
      </c>
    </row>
    <row r="46" spans="1:5" x14ac:dyDescent="0.25">
      <c r="A46" s="34" t="s">
        <v>3</v>
      </c>
      <c r="B46" s="4">
        <f>Assumptions!$B$149*(SUM('Maple Start Up Costs'!$B$9:$B$17))</f>
        <v>2806.75</v>
      </c>
      <c r="C46" s="4">
        <f>Assumptions!$B$149*(SUM('Maple Start Up Costs'!$B$11:$B$17))</f>
        <v>2306.75</v>
      </c>
      <c r="D46" s="4">
        <f>Assumptions!$B$149*(SUM('Maple Start Up Costs'!$B$11:$B$17))</f>
        <v>2306.75</v>
      </c>
      <c r="E46" s="4">
        <f>Assumptions!$B$149*(SUM('Maple Start Up Costs'!$B$11:$B$17))</f>
        <v>2306.75</v>
      </c>
    </row>
    <row r="47" spans="1:5" x14ac:dyDescent="0.25">
      <c r="A47" s="33" t="s">
        <v>9</v>
      </c>
      <c r="B47" s="4">
        <v>0</v>
      </c>
      <c r="C47" s="4">
        <v>0</v>
      </c>
      <c r="D47" s="4">
        <v>0</v>
      </c>
      <c r="E47" s="4">
        <v>0</v>
      </c>
    </row>
    <row r="48" spans="1:5" x14ac:dyDescent="0.25">
      <c r="A48" s="34" t="s">
        <v>13</v>
      </c>
      <c r="B48" s="4">
        <v>0</v>
      </c>
      <c r="C48" s="4">
        <v>0</v>
      </c>
      <c r="D48" s="4">
        <v>0</v>
      </c>
      <c r="E48" s="4">
        <v>0</v>
      </c>
    </row>
    <row r="49" spans="1:5" x14ac:dyDescent="0.25">
      <c r="A49" s="34" t="s">
        <v>14</v>
      </c>
      <c r="B49" s="4">
        <f>+Assumptions!$B$37</f>
        <v>2286.25</v>
      </c>
      <c r="C49" s="4">
        <f>+Assumptions!$B$37</f>
        <v>2286.25</v>
      </c>
      <c r="D49" s="4">
        <f>+Assumptions!$B$37</f>
        <v>2286.25</v>
      </c>
      <c r="E49" s="4">
        <f>+Assumptions!$B$37</f>
        <v>2286.25</v>
      </c>
    </row>
    <row r="50" spans="1:5" ht="14.4" x14ac:dyDescent="0.3">
      <c r="A50" s="1" t="s">
        <v>19</v>
      </c>
      <c r="B50" s="5">
        <f>SUM(B36:B49)</f>
        <v>6969.8099999999995</v>
      </c>
      <c r="C50" s="5">
        <f>SUM(C36:C49)</f>
        <v>6719.8099999999995</v>
      </c>
      <c r="D50" s="5">
        <f>SUM(D36:D49)</f>
        <v>6769.8099999999995</v>
      </c>
      <c r="E50" s="5">
        <f>SUM(E36:E49)</f>
        <v>6769.8099999999995</v>
      </c>
    </row>
    <row r="52" spans="1:5" x14ac:dyDescent="0.25">
      <c r="A52" s="2" t="s">
        <v>88</v>
      </c>
    </row>
    <row r="53" spans="1:5" x14ac:dyDescent="0.25">
      <c r="A53" s="34" t="s">
        <v>21</v>
      </c>
      <c r="B53" s="17">
        <f>'Maple Start Up Costs'!B30+'Maple Start Up Costs'!B44</f>
        <v>4268.0999999999995</v>
      </c>
      <c r="C53" s="17">
        <f>'Maple Start Up Costs'!C30+'Maple Start Up Costs'!C44</f>
        <v>3782.3888738582777</v>
      </c>
      <c r="D53" s="17">
        <f>'Maple Start Up Costs'!D30+'Maple Start Up Costs'!D44</f>
        <v>3260.2494132559273</v>
      </c>
      <c r="E53" s="17">
        <f>'Maple Start Up Costs'!E30+'Maple Start Up Costs'!E44</f>
        <v>2698.9494931084</v>
      </c>
    </row>
    <row r="54" spans="1:5" x14ac:dyDescent="0.25">
      <c r="A54" s="33" t="s">
        <v>76</v>
      </c>
      <c r="B54" s="144">
        <f>'Maple Start Up Costs'!$F$20</f>
        <v>8760.2142857142862</v>
      </c>
      <c r="C54" s="144">
        <f>'Maple Start Up Costs'!$F$20</f>
        <v>8760.2142857142862</v>
      </c>
      <c r="D54" s="144">
        <f>'Maple Start Up Costs'!$F$20</f>
        <v>8760.2142857142862</v>
      </c>
      <c r="E54" s="144">
        <f>'Maple Start Up Costs'!$F$20</f>
        <v>8760.2142857142862</v>
      </c>
    </row>
    <row r="55" spans="1:5" ht="14.4" x14ac:dyDescent="0.3">
      <c r="A55" s="1" t="s">
        <v>79</v>
      </c>
      <c r="B55" s="5">
        <f>SUM(B53:B54)</f>
        <v>13028.314285714285</v>
      </c>
      <c r="C55" s="5">
        <f>SUM(C53:C54)</f>
        <v>12542.603159572564</v>
      </c>
      <c r="D55" s="5">
        <f>SUM(D53:D54)</f>
        <v>12020.463698970214</v>
      </c>
      <c r="E55" s="5">
        <f>SUM(E53:E54)</f>
        <v>11459.163778822687</v>
      </c>
    </row>
    <row r="57" spans="1:5" ht="14.4" x14ac:dyDescent="0.3">
      <c r="A57" s="1" t="s">
        <v>75</v>
      </c>
      <c r="B57" s="5">
        <f>B29+B33-B50-B55</f>
        <v>9343.8791614798938</v>
      </c>
      <c r="C57" s="5">
        <f>C29+C33-C50-C55</f>
        <v>12011.843227144027</v>
      </c>
      <c r="D57" s="5">
        <f>D29+D33-D50-D55</f>
        <v>16390.140005923204</v>
      </c>
      <c r="E57" s="5">
        <f>E29+E33-E50-E55</f>
        <v>20879.89724424755</v>
      </c>
    </row>
    <row r="60" spans="1:5" x14ac:dyDescent="0.25">
      <c r="A60" s="2" t="s">
        <v>86</v>
      </c>
    </row>
    <row r="61" spans="1:5" x14ac:dyDescent="0.25">
      <c r="A61" s="3" t="s">
        <v>0</v>
      </c>
      <c r="B61" s="17">
        <f>B11+B33</f>
        <v>33475</v>
      </c>
      <c r="C61" s="17">
        <f>C11+C33</f>
        <v>35715</v>
      </c>
      <c r="D61" s="17">
        <f>D11+D33</f>
        <v>40165</v>
      </c>
      <c r="E61" s="17">
        <f>E11+E33</f>
        <v>44640</v>
      </c>
    </row>
    <row r="62" spans="1:5" x14ac:dyDescent="0.25">
      <c r="A62" s="3" t="s">
        <v>87</v>
      </c>
      <c r="B62" s="17">
        <f>B27+B50</f>
        <v>11102.806552805821</v>
      </c>
      <c r="C62" s="17">
        <f>C27+C50</f>
        <v>11160.55361328341</v>
      </c>
      <c r="D62" s="17">
        <f>D27+D50</f>
        <v>11754.396295106588</v>
      </c>
      <c r="E62" s="17">
        <f>E27+E50</f>
        <v>12300.938976929763</v>
      </c>
    </row>
    <row r="63" spans="1:5" x14ac:dyDescent="0.25">
      <c r="A63" s="3" t="s">
        <v>88</v>
      </c>
      <c r="B63" s="17">
        <f>B55</f>
        <v>13028.314285714285</v>
      </c>
      <c r="C63" s="17">
        <f>C55</f>
        <v>12542.603159572564</v>
      </c>
      <c r="D63" s="17">
        <f>D55</f>
        <v>12020.463698970214</v>
      </c>
      <c r="E63" s="17">
        <f>E55</f>
        <v>11459.163778822687</v>
      </c>
    </row>
    <row r="64" spans="1:5" x14ac:dyDescent="0.25">
      <c r="A64" s="3" t="s">
        <v>94</v>
      </c>
      <c r="B64" s="32">
        <v>0</v>
      </c>
      <c r="C64" s="32">
        <v>0</v>
      </c>
      <c r="D64" s="32">
        <v>0</v>
      </c>
      <c r="E64" s="32">
        <v>0</v>
      </c>
    </row>
    <row r="65" spans="1:5" x14ac:dyDescent="0.25">
      <c r="A65" s="3" t="s">
        <v>20</v>
      </c>
      <c r="B65" s="17">
        <f>B61-B62-B63-B64</f>
        <v>9343.8791614798938</v>
      </c>
      <c r="C65" s="17">
        <f>C61-C62-C63-C64</f>
        <v>12011.843227144027</v>
      </c>
      <c r="D65" s="17">
        <f>D61-D62-D63-D64</f>
        <v>16390.140005923196</v>
      </c>
      <c r="E65" s="17">
        <f>E61-E62-E63-E64</f>
        <v>20879.89724424755</v>
      </c>
    </row>
  </sheetData>
  <phoneticPr fontId="6" type="noConversion"/>
  <pageMargins left="0.75" right="0.75" top="1" bottom="1" header="0.5" footer="0.5"/>
  <pageSetup scale="8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/>
  </sheetViews>
  <sheetFormatPr defaultRowHeight="13.2" x14ac:dyDescent="0.25"/>
  <cols>
    <col min="1" max="1" width="56.44140625" bestFit="1" customWidth="1"/>
    <col min="2" max="3" width="13.44140625" bestFit="1" customWidth="1"/>
    <col min="4" max="5" width="13.33203125" bestFit="1" customWidth="1"/>
  </cols>
  <sheetData>
    <row r="1" spans="1:5" ht="14.4" x14ac:dyDescent="0.3">
      <c r="A1" s="7"/>
    </row>
    <row r="2" spans="1:5" ht="14.4" x14ac:dyDescent="0.3">
      <c r="A2" s="7" t="s">
        <v>211</v>
      </c>
    </row>
    <row r="3" spans="1:5" ht="14.4" x14ac:dyDescent="0.3">
      <c r="A3" s="134" t="s">
        <v>210</v>
      </c>
      <c r="B3" s="133">
        <f ca="1">TODAY()</f>
        <v>45499</v>
      </c>
    </row>
    <row r="4" spans="1:5" ht="14.4" x14ac:dyDescent="0.3">
      <c r="A4" s="15"/>
    </row>
    <row r="5" spans="1:5" ht="14.4" x14ac:dyDescent="0.3">
      <c r="A5" s="7"/>
    </row>
    <row r="6" spans="1:5" ht="14.4" x14ac:dyDescent="0.3">
      <c r="A6" s="36" t="s">
        <v>24</v>
      </c>
      <c r="B6" s="6"/>
      <c r="C6" s="6"/>
      <c r="D6" s="6"/>
      <c r="E6" s="6"/>
    </row>
    <row r="7" spans="1:5" ht="14.4" x14ac:dyDescent="0.3">
      <c r="A7" s="16"/>
      <c r="B7" s="18" t="s">
        <v>80</v>
      </c>
      <c r="C7" s="18" t="s">
        <v>81</v>
      </c>
      <c r="D7" s="18" t="s">
        <v>82</v>
      </c>
      <c r="E7" s="18" t="s">
        <v>205</v>
      </c>
    </row>
    <row r="8" spans="1:5" ht="14.4" x14ac:dyDescent="0.3">
      <c r="A8" s="8" t="s">
        <v>25</v>
      </c>
      <c r="B8" s="9">
        <v>0</v>
      </c>
      <c r="C8" s="9">
        <f>B30</f>
        <v>36432.945098637887</v>
      </c>
      <c r="D8" s="9">
        <f>C30</f>
        <v>49743.143136798186</v>
      </c>
      <c r="E8" s="9">
        <f>D30</f>
        <v>66409.49849313531</v>
      </c>
    </row>
    <row r="9" spans="1:5" ht="14.4" x14ac:dyDescent="0.3">
      <c r="A9" s="10" t="s">
        <v>26</v>
      </c>
      <c r="B9" s="11"/>
      <c r="C9" s="11"/>
      <c r="D9" s="11"/>
      <c r="E9" s="11"/>
    </row>
    <row r="10" spans="1:5" x14ac:dyDescent="0.25">
      <c r="A10" s="12" t="s">
        <v>90</v>
      </c>
      <c r="B10" s="9">
        <v>0</v>
      </c>
      <c r="C10" s="9">
        <v>0</v>
      </c>
      <c r="D10" s="9">
        <v>0</v>
      </c>
      <c r="E10" s="9">
        <v>0</v>
      </c>
    </row>
    <row r="11" spans="1:5" x14ac:dyDescent="0.25">
      <c r="A11" s="12" t="s">
        <v>91</v>
      </c>
      <c r="B11" s="9">
        <f>'Maple Start Up Costs'!B26+'Maple Start Up Costs'!B40</f>
        <v>56908</v>
      </c>
      <c r="C11" s="9">
        <v>0</v>
      </c>
      <c r="D11" s="9">
        <v>0</v>
      </c>
      <c r="E11" s="9">
        <v>0</v>
      </c>
    </row>
    <row r="12" spans="1:5" x14ac:dyDescent="0.25">
      <c r="A12" s="12" t="s">
        <v>92</v>
      </c>
      <c r="B12" s="9">
        <v>0</v>
      </c>
      <c r="C12" s="9">
        <v>0</v>
      </c>
      <c r="D12" s="9">
        <v>0</v>
      </c>
      <c r="E12" s="9">
        <v>0</v>
      </c>
    </row>
    <row r="13" spans="1:5" x14ac:dyDescent="0.25">
      <c r="A13" s="12" t="s">
        <v>228</v>
      </c>
      <c r="B13" s="9">
        <f>'Income Statement'!B57+'Income Statement'!B55</f>
        <v>22372.193447194179</v>
      </c>
      <c r="C13" s="9">
        <f>'Income Statement'!C57+'Income Statement'!C55</f>
        <v>24554.44638671659</v>
      </c>
      <c r="D13" s="9">
        <f>'Income Statement'!D57+'Income Statement'!D55</f>
        <v>28410.603704893416</v>
      </c>
      <c r="E13" s="9">
        <f>'Income Statement'!E57+'Income Statement'!E55</f>
        <v>32339.061023070237</v>
      </c>
    </row>
    <row r="14" spans="1:5" x14ac:dyDescent="0.25">
      <c r="A14" s="12" t="s">
        <v>95</v>
      </c>
      <c r="B14" s="9">
        <f>+'Maple Start Up Costs'!B25+'Maple Start Up Costs'!B39</f>
        <v>14227</v>
      </c>
      <c r="C14" s="9">
        <v>0</v>
      </c>
      <c r="D14" s="9">
        <v>0</v>
      </c>
      <c r="E14" s="9">
        <v>0</v>
      </c>
    </row>
    <row r="15" spans="1:5" x14ac:dyDescent="0.25">
      <c r="A15" s="12" t="s">
        <v>98</v>
      </c>
      <c r="B15" s="9">
        <v>0</v>
      </c>
      <c r="C15" s="9">
        <v>0</v>
      </c>
      <c r="D15" s="9">
        <v>0</v>
      </c>
      <c r="E15" s="9">
        <v>0</v>
      </c>
    </row>
    <row r="16" spans="1:5" ht="14.4" x14ac:dyDescent="0.3">
      <c r="A16" s="8" t="s">
        <v>27</v>
      </c>
      <c r="B16" s="14">
        <f>SUM(B10:B15)</f>
        <v>93507.193447194179</v>
      </c>
      <c r="C16" s="14">
        <f>SUM(C10:C15)</f>
        <v>24554.44638671659</v>
      </c>
      <c r="D16" s="14">
        <f>SUM(D10:D15)</f>
        <v>28410.603704893416</v>
      </c>
      <c r="E16" s="14">
        <f>SUM(E10:E15)</f>
        <v>32339.061023070237</v>
      </c>
    </row>
    <row r="17" spans="1:5" x14ac:dyDescent="0.25">
      <c r="A17" s="12"/>
      <c r="B17" s="12"/>
      <c r="C17" s="12"/>
      <c r="D17" s="12"/>
      <c r="E17" s="12"/>
    </row>
    <row r="18" spans="1:5" ht="14.4" x14ac:dyDescent="0.3">
      <c r="A18" s="8" t="s">
        <v>28</v>
      </c>
      <c r="B18" s="12"/>
      <c r="C18" s="12"/>
      <c r="D18" s="12"/>
      <c r="E18" s="12"/>
    </row>
    <row r="19" spans="1:5" x14ac:dyDescent="0.25">
      <c r="A19" s="25" t="s">
        <v>77</v>
      </c>
      <c r="B19" s="9">
        <v>0</v>
      </c>
      <c r="C19" s="9">
        <v>0</v>
      </c>
      <c r="D19" s="9">
        <v>0</v>
      </c>
      <c r="E19" s="9">
        <v>0</v>
      </c>
    </row>
    <row r="20" spans="1:5" x14ac:dyDescent="0.25">
      <c r="A20" s="12" t="s">
        <v>29</v>
      </c>
      <c r="B20" s="9">
        <f>SUM('Maple Start Up Costs'!B9,'Maple Start Up Costs'!B10)</f>
        <v>10000</v>
      </c>
      <c r="C20" s="9">
        <v>0</v>
      </c>
      <c r="D20" s="9">
        <v>0</v>
      </c>
      <c r="E20" s="9">
        <v>0</v>
      </c>
    </row>
    <row r="21" spans="1:5" x14ac:dyDescent="0.25">
      <c r="A21" s="12" t="s">
        <v>30</v>
      </c>
      <c r="B21" s="13">
        <f>SUM('Maple Start Up Costs'!B8,'Maple Start Up Costs'!B15:B18)</f>
        <v>36330</v>
      </c>
      <c r="C21" s="13">
        <f>Assumptions!C18*'Maple Start Up Costs'!$B$3</f>
        <v>500</v>
      </c>
      <c r="D21" s="13">
        <f>Assumptions!D18*'Maple Start Up Costs'!$B$3</f>
        <v>1000</v>
      </c>
      <c r="E21" s="13">
        <f>Assumptions!E18*'Maple Start Up Costs'!$B$3</f>
        <v>1000</v>
      </c>
    </row>
    <row r="22" spans="1:5" x14ac:dyDescent="0.25">
      <c r="A22" s="145" t="s">
        <v>51</v>
      </c>
      <c r="B22" s="9">
        <f>'Maple Start Up Costs'!B37</f>
        <v>0</v>
      </c>
      <c r="C22" s="9">
        <v>0</v>
      </c>
      <c r="D22" s="9">
        <v>0</v>
      </c>
      <c r="E22" s="9">
        <v>0</v>
      </c>
    </row>
    <row r="23" spans="1:5" x14ac:dyDescent="0.25">
      <c r="A23" s="12" t="s">
        <v>33</v>
      </c>
      <c r="B23" s="9">
        <v>0</v>
      </c>
      <c r="C23" s="9">
        <v>0</v>
      </c>
      <c r="D23" s="9">
        <v>0</v>
      </c>
      <c r="E23" s="9">
        <v>0</v>
      </c>
    </row>
    <row r="24" spans="1:5" x14ac:dyDescent="0.25">
      <c r="A24" s="12" t="s">
        <v>32</v>
      </c>
      <c r="B24" s="9">
        <f>'Maple Start Up Costs'!B32+'Maple Start Up Costs'!B46</f>
        <v>10744.24834855629</v>
      </c>
      <c r="C24" s="9">
        <f>'Maple Start Up Costs'!C32+'Maple Start Up Costs'!C46</f>
        <v>10744.24834855629</v>
      </c>
      <c r="D24" s="9">
        <f>'Maple Start Up Costs'!D32+'Maple Start Up Costs'!D46</f>
        <v>10744.24834855629</v>
      </c>
      <c r="E24" s="9">
        <f>'Maple Start Up Costs'!E32+'Maple Start Up Costs'!E46</f>
        <v>10744.248348556292</v>
      </c>
    </row>
    <row r="25" spans="1:5" x14ac:dyDescent="0.25">
      <c r="A25" s="12" t="s">
        <v>31</v>
      </c>
      <c r="B25" s="13">
        <v>0</v>
      </c>
      <c r="C25" s="13">
        <v>0</v>
      </c>
      <c r="D25" s="13">
        <v>0</v>
      </c>
      <c r="E25" s="13">
        <v>0</v>
      </c>
    </row>
    <row r="26" spans="1:5" ht="12" customHeight="1" x14ac:dyDescent="0.25">
      <c r="A26" s="12" t="s">
        <v>34</v>
      </c>
      <c r="B26" s="9">
        <v>0</v>
      </c>
      <c r="C26" s="9">
        <v>0</v>
      </c>
      <c r="D26" s="9">
        <v>0</v>
      </c>
      <c r="E26" s="9">
        <v>0</v>
      </c>
    </row>
    <row r="27" spans="1:5" ht="14.4" x14ac:dyDescent="0.3">
      <c r="A27" s="8" t="s">
        <v>35</v>
      </c>
      <c r="B27" s="14">
        <f>SUM(B19:B26)</f>
        <v>57074.248348556292</v>
      </c>
      <c r="C27" s="14">
        <f>SUM(C19:C26)</f>
        <v>11244.24834855629</v>
      </c>
      <c r="D27" s="14">
        <f>SUM(D19:D26)</f>
        <v>11744.24834855629</v>
      </c>
      <c r="E27" s="14">
        <f>SUM(E19:E26)</f>
        <v>11744.248348556292</v>
      </c>
    </row>
    <row r="28" spans="1:5" x14ac:dyDescent="0.25">
      <c r="A28" s="12"/>
      <c r="B28" s="12"/>
      <c r="C28" s="12"/>
      <c r="D28" s="12"/>
      <c r="E28" s="12"/>
    </row>
    <row r="29" spans="1:5" ht="14.4" x14ac:dyDescent="0.3">
      <c r="A29" s="8" t="s">
        <v>36</v>
      </c>
      <c r="B29" s="14">
        <f>B16-B27</f>
        <v>36432.945098637887</v>
      </c>
      <c r="C29" s="14">
        <f>C16-C27</f>
        <v>13310.198038160301</v>
      </c>
      <c r="D29" s="14">
        <f>D16-D27</f>
        <v>16666.355356337124</v>
      </c>
      <c r="E29" s="14">
        <f>E16-E27</f>
        <v>20594.812674513945</v>
      </c>
    </row>
    <row r="30" spans="1:5" ht="14.4" x14ac:dyDescent="0.3">
      <c r="A30" s="8" t="s">
        <v>37</v>
      </c>
      <c r="B30" s="14">
        <f>B29+B8</f>
        <v>36432.945098637887</v>
      </c>
      <c r="C30" s="14">
        <f>C29+C8</f>
        <v>49743.143136798186</v>
      </c>
      <c r="D30" s="14">
        <f>D29+D8</f>
        <v>66409.49849313531</v>
      </c>
      <c r="E30" s="14">
        <f>E29+E8</f>
        <v>87004.311167649255</v>
      </c>
    </row>
  </sheetData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34" style="19" bestFit="1" customWidth="1"/>
    <col min="2" max="5" width="12.6640625" style="19" customWidth="1"/>
    <col min="6" max="16384" width="9.109375" style="19"/>
  </cols>
  <sheetData>
    <row r="1" spans="1:5" customFormat="1" x14ac:dyDescent="0.3">
      <c r="A1" s="7"/>
    </row>
    <row r="2" spans="1:5" customFormat="1" x14ac:dyDescent="0.3">
      <c r="A2" s="7" t="s">
        <v>96</v>
      </c>
    </row>
    <row r="3" spans="1:5" customFormat="1" x14ac:dyDescent="0.3">
      <c r="A3" s="134" t="s">
        <v>210</v>
      </c>
      <c r="B3" s="133">
        <f ca="1">TODAY()</f>
        <v>45499</v>
      </c>
    </row>
    <row r="4" spans="1:5" customFormat="1" x14ac:dyDescent="0.3">
      <c r="A4" s="15"/>
    </row>
    <row r="5" spans="1:5" customFormat="1" x14ac:dyDescent="0.3">
      <c r="A5" s="7"/>
    </row>
    <row r="6" spans="1:5" x14ac:dyDescent="0.3">
      <c r="A6" s="15"/>
    </row>
    <row r="7" spans="1:5" ht="16.2" x14ac:dyDescent="0.45">
      <c r="A7" s="38" t="s">
        <v>38</v>
      </c>
      <c r="B7" s="31" t="s">
        <v>93</v>
      </c>
      <c r="C7" s="31" t="s">
        <v>65</v>
      </c>
      <c r="D7" s="31" t="s">
        <v>66</v>
      </c>
      <c r="E7" s="31" t="s">
        <v>67</v>
      </c>
    </row>
    <row r="8" spans="1:5" x14ac:dyDescent="0.3">
      <c r="A8" s="26" t="s">
        <v>40</v>
      </c>
      <c r="B8" s="20"/>
    </row>
    <row r="9" spans="1:5" x14ac:dyDescent="0.3">
      <c r="A9" s="27" t="s">
        <v>68</v>
      </c>
      <c r="B9" s="21">
        <f>'Cash Flow'!B30</f>
        <v>36432.945098637887</v>
      </c>
      <c r="C9" s="21">
        <f>'Cash Flow'!C30</f>
        <v>49743.143136798186</v>
      </c>
      <c r="D9" s="21">
        <f>'Cash Flow'!D30</f>
        <v>66409.49849313531</v>
      </c>
      <c r="E9" s="21">
        <f>'Cash Flow'!E30</f>
        <v>87004.311167649255</v>
      </c>
    </row>
    <row r="10" spans="1:5" x14ac:dyDescent="0.3">
      <c r="A10" s="27" t="s">
        <v>44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3">
      <c r="A11" s="27" t="s">
        <v>46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3">
      <c r="A12" s="28" t="s">
        <v>47</v>
      </c>
      <c r="B12" s="23">
        <v>0</v>
      </c>
      <c r="C12" s="23">
        <v>0</v>
      </c>
      <c r="D12" s="23">
        <v>0</v>
      </c>
      <c r="E12" s="23">
        <v>0</v>
      </c>
    </row>
    <row r="13" spans="1:5" x14ac:dyDescent="0.3">
      <c r="A13" s="29" t="s">
        <v>48</v>
      </c>
      <c r="B13" s="22">
        <f>SUM(B9:B12)</f>
        <v>36432.945098637887</v>
      </c>
      <c r="C13" s="22">
        <f>SUM(C9:C12)</f>
        <v>49743.143136798186</v>
      </c>
      <c r="D13" s="22">
        <f>SUM(D9:D12)</f>
        <v>66409.49849313531</v>
      </c>
      <c r="E13" s="22">
        <f>SUM(E9:E12)</f>
        <v>87004.311167649255</v>
      </c>
    </row>
    <row r="14" spans="1:5" x14ac:dyDescent="0.3">
      <c r="B14" s="20"/>
    </row>
    <row r="15" spans="1:5" x14ac:dyDescent="0.3">
      <c r="A15" s="26" t="s">
        <v>50</v>
      </c>
      <c r="B15" s="20"/>
    </row>
    <row r="16" spans="1:5" x14ac:dyDescent="0.3">
      <c r="A16" s="27" t="s">
        <v>89</v>
      </c>
      <c r="B16" s="21">
        <v>0</v>
      </c>
      <c r="C16" s="21">
        <v>0</v>
      </c>
      <c r="D16" s="21">
        <v>0</v>
      </c>
      <c r="E16" s="21">
        <v>0</v>
      </c>
    </row>
    <row r="17" spans="1:5" x14ac:dyDescent="0.3">
      <c r="A17" s="27" t="s">
        <v>29</v>
      </c>
      <c r="B17" s="21">
        <v>0</v>
      </c>
      <c r="C17" s="21">
        <v>0</v>
      </c>
      <c r="D17" s="21">
        <v>0</v>
      </c>
      <c r="E17" s="21">
        <v>0</v>
      </c>
    </row>
    <row r="18" spans="1:5" x14ac:dyDescent="0.3">
      <c r="A18" s="27" t="s">
        <v>30</v>
      </c>
      <c r="B18" s="21">
        <v>0</v>
      </c>
      <c r="C18" s="21">
        <v>0</v>
      </c>
      <c r="D18" s="21">
        <v>0</v>
      </c>
      <c r="E18" s="21">
        <v>0</v>
      </c>
    </row>
    <row r="19" spans="1:5" x14ac:dyDescent="0.3">
      <c r="A19" s="27" t="s">
        <v>51</v>
      </c>
      <c r="B19" s="21">
        <v>0</v>
      </c>
      <c r="C19" s="21">
        <v>0</v>
      </c>
      <c r="D19" s="21">
        <v>0</v>
      </c>
      <c r="E19" s="21">
        <v>0</v>
      </c>
    </row>
    <row r="20" spans="1:5" x14ac:dyDescent="0.3">
      <c r="A20" s="28" t="s">
        <v>78</v>
      </c>
      <c r="B20" s="23">
        <v>0</v>
      </c>
      <c r="C20" s="23">
        <v>0</v>
      </c>
      <c r="D20" s="23">
        <v>0</v>
      </c>
      <c r="E20" s="23">
        <v>0</v>
      </c>
    </row>
    <row r="21" spans="1:5" x14ac:dyDescent="0.3">
      <c r="A21" s="29" t="s">
        <v>54</v>
      </c>
      <c r="B21" s="22">
        <f>SUM(B16:B19)-B20</f>
        <v>0</v>
      </c>
      <c r="C21" s="22">
        <f>SUM(C16:C19)-C20</f>
        <v>0</v>
      </c>
      <c r="D21" s="22">
        <f>SUM(D16:D19)-D20</f>
        <v>0</v>
      </c>
      <c r="E21" s="22">
        <f>SUM(E16:E19)-E20</f>
        <v>0</v>
      </c>
    </row>
    <row r="22" spans="1:5" x14ac:dyDescent="0.3">
      <c r="B22" s="20"/>
      <c r="C22" s="21"/>
      <c r="D22" s="21"/>
      <c r="E22" s="21"/>
    </row>
    <row r="23" spans="1:5" x14ac:dyDescent="0.3">
      <c r="A23" s="26" t="s">
        <v>56</v>
      </c>
      <c r="B23" s="20"/>
      <c r="C23" s="21"/>
      <c r="D23" s="21"/>
      <c r="E23" s="21"/>
    </row>
    <row r="24" spans="1:5" x14ac:dyDescent="0.3">
      <c r="A24" s="28" t="s">
        <v>58</v>
      </c>
      <c r="B24" s="23">
        <v>0</v>
      </c>
      <c r="C24" s="23">
        <v>0</v>
      </c>
      <c r="D24" s="23">
        <v>0</v>
      </c>
      <c r="E24" s="23">
        <v>0</v>
      </c>
    </row>
    <row r="25" spans="1:5" x14ac:dyDescent="0.3">
      <c r="A25" s="29" t="s">
        <v>60</v>
      </c>
      <c r="B25" s="22">
        <f>SUM(B24)</f>
        <v>0</v>
      </c>
      <c r="C25" s="22">
        <f>SUM(C24)</f>
        <v>0</v>
      </c>
      <c r="D25" s="22">
        <f>SUM(D24)</f>
        <v>0</v>
      </c>
      <c r="E25" s="22">
        <f>SUM(E24)</f>
        <v>0</v>
      </c>
    </row>
    <row r="26" spans="1:5" x14ac:dyDescent="0.3">
      <c r="B26" s="20"/>
    </row>
    <row r="27" spans="1:5" x14ac:dyDescent="0.3">
      <c r="B27" s="20"/>
    </row>
    <row r="28" spans="1:5" ht="15" thickBot="1" x14ac:dyDescent="0.35">
      <c r="A28" s="26" t="s">
        <v>61</v>
      </c>
      <c r="B28" s="37">
        <f>B13+B21+B25</f>
        <v>36432.945098637887</v>
      </c>
      <c r="C28" s="37">
        <f>C13+C21+C25</f>
        <v>49743.143136798186</v>
      </c>
      <c r="D28" s="37">
        <f>D13+D21+D25</f>
        <v>66409.49849313531</v>
      </c>
      <c r="E28" s="37">
        <f>E13+E21+E25</f>
        <v>87004.311167649255</v>
      </c>
    </row>
    <row r="29" spans="1:5" x14ac:dyDescent="0.3">
      <c r="B29" s="20"/>
      <c r="C29" s="21"/>
      <c r="D29" s="21"/>
      <c r="E29" s="21"/>
    </row>
    <row r="30" spans="1:5" x14ac:dyDescent="0.3">
      <c r="A30" s="38" t="s">
        <v>39</v>
      </c>
      <c r="B30" s="20"/>
    </row>
    <row r="31" spans="1:5" x14ac:dyDescent="0.3">
      <c r="A31" s="26" t="s">
        <v>41</v>
      </c>
      <c r="B31" s="20"/>
    </row>
    <row r="32" spans="1:5" x14ac:dyDescent="0.3">
      <c r="A32" s="27" t="s">
        <v>42</v>
      </c>
      <c r="B32" s="21">
        <v>0</v>
      </c>
      <c r="C32" s="21">
        <v>0</v>
      </c>
      <c r="D32" s="21">
        <v>0</v>
      </c>
      <c r="E32" s="21">
        <v>0</v>
      </c>
    </row>
    <row r="33" spans="1:5" x14ac:dyDescent="0.3">
      <c r="A33" s="28" t="s">
        <v>43</v>
      </c>
      <c r="B33" s="23">
        <v>0</v>
      </c>
      <c r="C33" s="23">
        <v>0</v>
      </c>
      <c r="D33" s="23">
        <v>0</v>
      </c>
      <c r="E33" s="23">
        <v>0</v>
      </c>
    </row>
    <row r="34" spans="1:5" x14ac:dyDescent="0.3">
      <c r="A34" s="29" t="s">
        <v>45</v>
      </c>
      <c r="B34" s="22">
        <f>SUM(B32:B33)</f>
        <v>0</v>
      </c>
      <c r="C34" s="22">
        <f>SUM(C32:C33)</f>
        <v>0</v>
      </c>
      <c r="D34" s="22">
        <f>SUM(D32:D33)</f>
        <v>0</v>
      </c>
      <c r="E34" s="22">
        <f>SUM(E32:E33)</f>
        <v>0</v>
      </c>
    </row>
    <row r="35" spans="1:5" x14ac:dyDescent="0.3">
      <c r="B35" s="20"/>
    </row>
    <row r="36" spans="1:5" x14ac:dyDescent="0.3">
      <c r="A36" s="26" t="s">
        <v>49</v>
      </c>
      <c r="B36" s="20"/>
      <c r="C36" s="21"/>
      <c r="D36" s="21"/>
      <c r="E36" s="21"/>
    </row>
    <row r="37" spans="1:5" x14ac:dyDescent="0.3">
      <c r="A37" s="27" t="s">
        <v>69</v>
      </c>
      <c r="B37" s="21">
        <v>0</v>
      </c>
      <c r="C37" s="21">
        <v>0</v>
      </c>
      <c r="D37" s="21">
        <v>0</v>
      </c>
      <c r="E37" s="21">
        <v>0</v>
      </c>
    </row>
    <row r="38" spans="1:5" x14ac:dyDescent="0.3">
      <c r="A38" s="27" t="s">
        <v>70</v>
      </c>
      <c r="B38" s="21">
        <v>0</v>
      </c>
      <c r="C38" s="21">
        <v>0</v>
      </c>
      <c r="D38" s="21">
        <v>0</v>
      </c>
      <c r="E38" s="21">
        <v>0</v>
      </c>
    </row>
    <row r="39" spans="1:5" x14ac:dyDescent="0.3">
      <c r="A39" s="28" t="s">
        <v>71</v>
      </c>
      <c r="B39" s="23">
        <v>0</v>
      </c>
      <c r="C39" s="23">
        <v>0</v>
      </c>
      <c r="D39" s="23">
        <v>0</v>
      </c>
      <c r="E39" s="23">
        <v>0</v>
      </c>
    </row>
    <row r="40" spans="1:5" x14ac:dyDescent="0.3">
      <c r="A40" s="29" t="s">
        <v>52</v>
      </c>
      <c r="B40" s="22">
        <f>SUM(B37:B39)</f>
        <v>0</v>
      </c>
      <c r="C40" s="22">
        <f>SUM(C37:C39)</f>
        <v>0</v>
      </c>
      <c r="D40" s="22">
        <f>SUM(D37:D39)</f>
        <v>0</v>
      </c>
      <c r="E40" s="22">
        <f>SUM(E37:E39)</f>
        <v>0</v>
      </c>
    </row>
    <row r="41" spans="1:5" x14ac:dyDescent="0.3">
      <c r="B41" s="20"/>
      <c r="C41" s="21"/>
      <c r="D41" s="21"/>
      <c r="E41" s="21"/>
    </row>
    <row r="42" spans="1:5" ht="15" thickBot="1" x14ac:dyDescent="0.35">
      <c r="A42" s="26" t="s">
        <v>53</v>
      </c>
      <c r="B42" s="24">
        <f>B34+B40</f>
        <v>0</v>
      </c>
      <c r="C42" s="24">
        <f>C34+C40</f>
        <v>0</v>
      </c>
      <c r="D42" s="24">
        <f>D34+D40</f>
        <v>0</v>
      </c>
      <c r="E42" s="24">
        <f>E34+E40</f>
        <v>0</v>
      </c>
    </row>
    <row r="43" spans="1:5" x14ac:dyDescent="0.3">
      <c r="B43" s="20"/>
      <c r="C43" s="21"/>
      <c r="D43" s="21"/>
      <c r="E43" s="21"/>
    </row>
    <row r="44" spans="1:5" x14ac:dyDescent="0.3">
      <c r="A44" s="26" t="s">
        <v>55</v>
      </c>
      <c r="B44" s="20"/>
      <c r="C44" s="21"/>
      <c r="D44" s="21"/>
      <c r="E44" s="21"/>
    </row>
    <row r="45" spans="1:5" x14ac:dyDescent="0.3">
      <c r="A45" s="27" t="s">
        <v>72</v>
      </c>
      <c r="B45" s="21">
        <v>0</v>
      </c>
      <c r="C45" s="21">
        <f>B45</f>
        <v>0</v>
      </c>
      <c r="D45" s="21">
        <f>B45</f>
        <v>0</v>
      </c>
      <c r="E45" s="21">
        <f>B45</f>
        <v>0</v>
      </c>
    </row>
    <row r="46" spans="1:5" x14ac:dyDescent="0.3">
      <c r="A46" s="27" t="s">
        <v>57</v>
      </c>
      <c r="B46" s="21">
        <v>0</v>
      </c>
      <c r="C46" s="21">
        <f>B46+B47</f>
        <v>9343.8791614798938</v>
      </c>
      <c r="D46" s="21">
        <f>C46+C47</f>
        <v>21355.722388623923</v>
      </c>
      <c r="E46" s="21">
        <f>D46+D47</f>
        <v>37745.862394547126</v>
      </c>
    </row>
    <row r="47" spans="1:5" x14ac:dyDescent="0.3">
      <c r="A47" s="27" t="s">
        <v>20</v>
      </c>
      <c r="B47" s="21">
        <f>'Income Statement'!B57</f>
        <v>9343.8791614798938</v>
      </c>
      <c r="C47" s="21">
        <f>'Income Statement'!C57</f>
        <v>12011.843227144027</v>
      </c>
      <c r="D47" s="21">
        <f>'Income Statement'!D57</f>
        <v>16390.140005923204</v>
      </c>
      <c r="E47" s="21">
        <f>'Income Statement'!E57</f>
        <v>20879.89724424755</v>
      </c>
    </row>
    <row r="48" spans="1:5" x14ac:dyDescent="0.3">
      <c r="A48" s="30" t="s">
        <v>73</v>
      </c>
      <c r="B48" s="23">
        <v>0</v>
      </c>
      <c r="C48" s="23">
        <v>0</v>
      </c>
      <c r="D48" s="23">
        <v>0</v>
      </c>
      <c r="E48" s="23">
        <v>0</v>
      </c>
    </row>
    <row r="49" spans="1:5" x14ac:dyDescent="0.3">
      <c r="A49" s="29" t="s">
        <v>74</v>
      </c>
      <c r="B49" s="22">
        <f>SUM(B45:B47)-B48</f>
        <v>9343.8791614798938</v>
      </c>
      <c r="C49" s="22">
        <f>SUM(C45:C47)-C48</f>
        <v>21355.722388623923</v>
      </c>
      <c r="D49" s="22">
        <f>SUM(D45:D47)-D48</f>
        <v>37745.862394547126</v>
      </c>
      <c r="E49" s="22">
        <f>SUM(E45:E47)-E48</f>
        <v>58625.759638794676</v>
      </c>
    </row>
    <row r="50" spans="1:5" x14ac:dyDescent="0.3">
      <c r="B50" s="20"/>
      <c r="C50" s="21"/>
      <c r="D50" s="21"/>
      <c r="E50" s="21"/>
    </row>
    <row r="51" spans="1:5" ht="15" thickBot="1" x14ac:dyDescent="0.35">
      <c r="A51" s="26" t="s">
        <v>59</v>
      </c>
      <c r="B51" s="24">
        <f>B49</f>
        <v>9343.8791614798938</v>
      </c>
      <c r="C51" s="24">
        <f>C49</f>
        <v>21355.722388623923</v>
      </c>
      <c r="D51" s="24">
        <f>D49</f>
        <v>37745.862394547126</v>
      </c>
      <c r="E51" s="24">
        <f>E49</f>
        <v>58625.759638794676</v>
      </c>
    </row>
    <row r="52" spans="1:5" x14ac:dyDescent="0.3">
      <c r="B52" s="20"/>
      <c r="C52" s="21"/>
      <c r="D52" s="21"/>
      <c r="E52" s="21"/>
    </row>
    <row r="53" spans="1:5" ht="15" thickBot="1" x14ac:dyDescent="0.35">
      <c r="A53" s="26" t="s">
        <v>62</v>
      </c>
      <c r="B53" s="37">
        <f>B42+B51</f>
        <v>9343.8791614798938</v>
      </c>
      <c r="C53" s="37">
        <f>C42+C51</f>
        <v>21355.722388623923</v>
      </c>
      <c r="D53" s="37">
        <f>D42+D51</f>
        <v>37745.862394547126</v>
      </c>
      <c r="E53" s="37">
        <f>E42+E51</f>
        <v>58625.759638794676</v>
      </c>
    </row>
  </sheetData>
  <pageMargins left="0.7" right="0.7" top="0.75" bottom="0.75" header="0.3" footer="0.3"/>
  <pageSetup scale="8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b6450f-2c30-4f03-84b4-06f39c4f6ef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E614B61AF204B8CB89A7EAF459EC2" ma:contentTypeVersion="18" ma:contentTypeDescription="Create a new document." ma:contentTypeScope="" ma:versionID="4f0cc6000b0096abe0123847aec9be68">
  <xsd:schema xmlns:xsd="http://www.w3.org/2001/XMLSchema" xmlns:xs="http://www.w3.org/2001/XMLSchema" xmlns:p="http://schemas.microsoft.com/office/2006/metadata/properties" xmlns:ns3="c2ce5cee-a266-4802-8c58-52e97f6e6189" xmlns:ns4="d3b6450f-2c30-4f03-84b4-06f39c4f6ef8" targetNamespace="http://schemas.microsoft.com/office/2006/metadata/properties" ma:root="true" ma:fieldsID="d44de919d1ecc8efe3ee46f194fb8ddd" ns3:_="" ns4:_="">
    <xsd:import namespace="c2ce5cee-a266-4802-8c58-52e97f6e6189"/>
    <xsd:import namespace="d3b6450f-2c30-4f03-84b4-06f39c4f6ef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e5cee-a266-4802-8c58-52e97f6e61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6450f-2c30-4f03-84b4-06f39c4f6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818B7E-88E9-42C5-AA94-59F190A162AD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c2ce5cee-a266-4802-8c58-52e97f6e6189"/>
    <ds:schemaRef ds:uri="http://purl.org/dc/dcmitype/"/>
    <ds:schemaRef ds:uri="http://schemas.microsoft.com/office/2006/documentManagement/types"/>
    <ds:schemaRef ds:uri="http://schemas.microsoft.com/office/infopath/2007/PartnerControls"/>
    <ds:schemaRef ds:uri="d3b6450f-2c30-4f03-84b4-06f39c4f6ef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4E4E39-4938-4C6A-830E-48877AFB63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4391E-8F9F-4D2A-AF6D-C2559E10C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e5cee-a266-4802-8c58-52e97f6e6189"/>
    <ds:schemaRef ds:uri="d3b6450f-2c30-4f03-84b4-06f39c4f6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Maple Start Up Costs</vt:lpstr>
      <vt:lpstr>Assumptions</vt:lpstr>
      <vt:lpstr>Income Statement</vt:lpstr>
      <vt:lpstr>Cash Flow</vt:lpstr>
      <vt:lpstr>Balance Sheet</vt:lpstr>
      <vt:lpstr>Assumptions!Print_Area</vt:lpstr>
      <vt:lpstr>'Income Statement'!Print_Area</vt:lpstr>
    </vt:vector>
  </TitlesOfParts>
  <Company>Kentucky Center for Cooperative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Powers</dc:creator>
  <cp:lastModifiedBy>User</cp:lastModifiedBy>
  <cp:lastPrinted>2017-11-20T16:56:59Z</cp:lastPrinted>
  <dcterms:created xsi:type="dcterms:W3CDTF">2007-07-19T13:12:20Z</dcterms:created>
  <dcterms:modified xsi:type="dcterms:W3CDTF">2024-07-26T15:10:17Z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0x010100689E614B61AF204B8CB89A7EAF459EC2</vt:lpwstr>
  </property>
</Properties>
</file>